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updateLinks="always"/>
  <mc:AlternateContent xmlns:mc="http://schemas.openxmlformats.org/markup-compatibility/2006">
    <mc:Choice Requires="x15">
      <x15ac:absPath xmlns:x15ac="http://schemas.microsoft.com/office/spreadsheetml/2010/11/ac" url="https://d.docs.live.net/a58c75fb79813b81/Financieel (gedeeld)/Energie/"/>
    </mc:Choice>
  </mc:AlternateContent>
  <xr:revisionPtr revIDLastSave="1858" documentId="8_{92130D1C-E96C-49FB-8F71-DF3D78DEDC04}" xr6:coauthVersionLast="47" xr6:coauthVersionMax="47" xr10:uidLastSave="{5482D138-6467-4714-AB65-E46714056533}"/>
  <bookViews>
    <workbookView xWindow="-108" yWindow="-108" windowWidth="30936" windowHeight="16776" tabRatio="836" xr2:uid="{00000000-000D-0000-FFFF-FFFF00000000}"/>
  </bookViews>
  <sheets>
    <sheet name="Rekentool" sheetId="45" r:id="rId1"/>
    <sheet name="Leveranciers" sheetId="47" r:id="rId2"/>
    <sheet name="Gebruiksaanwijzing" sheetId="46" r:id="rId3"/>
    <sheet name="Terugleverkosten" sheetId="44" r:id="rId4"/>
  </sheets>
  <definedNames>
    <definedName name="_xlnm._FilterDatabase" localSheetId="1" hidden="1">Leveranciers!$A$1:$E$1</definedName>
    <definedName name="_xlnm._FilterDatabase" localSheetId="0" hidden="1">Rekentool!$B$3:$AL$48</definedName>
    <definedName name="aaa">#REF!</definedName>
    <definedName name="aov_premie">#REF!</definedName>
    <definedName name="belastingschijf_4">#REF!</definedName>
    <definedName name="belastingtarief_3">#REF!</definedName>
    <definedName name="belastingtarief_4">#REF!</definedName>
    <definedName name="eigenwoningforfait">#REF!</definedName>
    <definedName name="hypotheek_aflossing">#REF!</definedName>
    <definedName name="hypotheekrente">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6" i="45" l="1"/>
  <c r="Y16" i="45"/>
  <c r="X16" i="45"/>
  <c r="Y27" i="45"/>
  <c r="X27" i="45"/>
  <c r="U27" i="45"/>
  <c r="T27" i="45"/>
  <c r="R27" i="45"/>
  <c r="Q27" i="45"/>
  <c r="Y46" i="45"/>
  <c r="X46" i="45"/>
  <c r="I47" i="45"/>
  <c r="Y47" i="45"/>
  <c r="X47" i="45"/>
  <c r="I48" i="45"/>
  <c r="Y48" i="45"/>
  <c r="X48" i="45"/>
  <c r="I43" i="45"/>
  <c r="Y43" i="45"/>
  <c r="X43" i="45"/>
  <c r="Y45" i="45"/>
  <c r="Y44" i="45"/>
  <c r="Y42" i="45"/>
  <c r="Y41" i="45"/>
  <c r="Y40" i="45"/>
  <c r="Y39" i="45"/>
  <c r="Y38" i="45"/>
  <c r="Y37" i="45"/>
  <c r="Y36" i="45"/>
  <c r="Y34" i="45"/>
  <c r="Y35" i="45"/>
  <c r="Y33" i="45"/>
  <c r="Y32" i="45"/>
  <c r="Y31" i="45"/>
  <c r="Y30" i="45"/>
  <c r="Y29" i="45"/>
  <c r="Y28" i="45"/>
  <c r="Y26" i="45"/>
  <c r="Y25" i="45"/>
  <c r="Y24" i="45"/>
  <c r="Y23" i="45"/>
  <c r="Y22" i="45"/>
  <c r="Y21" i="45"/>
  <c r="Y19" i="45"/>
  <c r="Y18" i="45"/>
  <c r="Y17" i="45"/>
  <c r="Y15" i="45"/>
  <c r="Y14" i="45"/>
  <c r="Y13" i="45"/>
  <c r="Y12" i="45"/>
  <c r="Y11" i="45"/>
  <c r="Y10" i="45"/>
  <c r="Y9" i="45"/>
  <c r="Y8" i="45"/>
  <c r="Y7" i="45"/>
  <c r="Y6" i="45"/>
  <c r="Y5" i="45"/>
  <c r="Y4" i="45"/>
  <c r="Y3" i="45"/>
  <c r="Y20" i="45"/>
  <c r="X45" i="45"/>
  <c r="X44" i="45"/>
  <c r="X42" i="45"/>
  <c r="X41" i="45"/>
  <c r="X40" i="45"/>
  <c r="X39" i="45"/>
  <c r="X38" i="45"/>
  <c r="X37" i="45"/>
  <c r="X36" i="45"/>
  <c r="X34" i="45"/>
  <c r="X35" i="45"/>
  <c r="X33" i="45"/>
  <c r="X32" i="45"/>
  <c r="X31" i="45"/>
  <c r="X30" i="45"/>
  <c r="X29" i="45"/>
  <c r="X28" i="45"/>
  <c r="X26" i="45"/>
  <c r="X25" i="45"/>
  <c r="X24" i="45"/>
  <c r="X23" i="45"/>
  <c r="X22" i="45"/>
  <c r="X21" i="45"/>
  <c r="X19" i="45"/>
  <c r="X18" i="45"/>
  <c r="X17" i="45"/>
  <c r="X15" i="45"/>
  <c r="X14" i="45"/>
  <c r="X13" i="45"/>
  <c r="X12" i="45"/>
  <c r="X11" i="45"/>
  <c r="X10" i="45"/>
  <c r="X9" i="45"/>
  <c r="X8" i="45"/>
  <c r="X7" i="45"/>
  <c r="X6" i="45"/>
  <c r="X5" i="45"/>
  <c r="X4" i="45"/>
  <c r="X3" i="45"/>
  <c r="X20" i="45"/>
  <c r="I45" i="45"/>
  <c r="I37" i="45"/>
  <c r="E47" i="44" l="1"/>
  <c r="E8" i="44"/>
  <c r="I42" i="45"/>
  <c r="I33" i="45"/>
  <c r="AD30" i="45"/>
  <c r="I69" i="44"/>
  <c r="I71" i="44"/>
  <c r="I73" i="44"/>
  <c r="I75" i="44"/>
  <c r="I77" i="44"/>
  <c r="I79" i="44"/>
  <c r="I81" i="44"/>
  <c r="I83" i="44"/>
  <c r="I85" i="44"/>
  <c r="I87" i="44"/>
  <c r="I115" i="44"/>
  <c r="I114" i="44"/>
  <c r="I113" i="44"/>
  <c r="I112" i="44"/>
  <c r="I111" i="44"/>
  <c r="I110" i="44"/>
  <c r="I109" i="44"/>
  <c r="I108" i="44"/>
  <c r="I107" i="44"/>
  <c r="I106" i="44"/>
  <c r="I105" i="44"/>
  <c r="I104" i="44"/>
  <c r="I103" i="44"/>
  <c r="I102" i="44"/>
  <c r="I101" i="44"/>
  <c r="I100" i="44"/>
  <c r="I99" i="44"/>
  <c r="I98" i="44"/>
  <c r="I97" i="44"/>
  <c r="I96" i="44"/>
  <c r="I95" i="44"/>
  <c r="I94" i="44"/>
  <c r="I93" i="44"/>
  <c r="I92" i="44"/>
  <c r="I91" i="44"/>
  <c r="I90" i="44"/>
  <c r="I89" i="44"/>
  <c r="I88" i="44"/>
  <c r="I86" i="44"/>
  <c r="I84" i="44"/>
  <c r="I82" i="44"/>
  <c r="I80" i="44"/>
  <c r="I78" i="44"/>
  <c r="I76" i="44"/>
  <c r="I74" i="44"/>
  <c r="I70" i="44"/>
  <c r="I72" i="44"/>
  <c r="I68" i="44"/>
  <c r="I67" i="44"/>
  <c r="I66" i="44"/>
  <c r="I65" i="44"/>
  <c r="I64" i="44"/>
  <c r="I63" i="44"/>
  <c r="I62" i="44"/>
  <c r="I61" i="44"/>
  <c r="I60" i="44"/>
  <c r="I59" i="44"/>
  <c r="I58" i="44"/>
  <c r="I57" i="44"/>
  <c r="I56" i="44"/>
  <c r="I55" i="44"/>
  <c r="I54" i="44"/>
  <c r="I53" i="44"/>
  <c r="I52" i="44"/>
  <c r="I36" i="44"/>
  <c r="I38" i="44"/>
  <c r="I40" i="44"/>
  <c r="I42" i="44"/>
  <c r="I44" i="44"/>
  <c r="I46" i="44"/>
  <c r="I48" i="44"/>
  <c r="I50" i="44"/>
  <c r="I51" i="44"/>
  <c r="I49" i="44"/>
  <c r="I47" i="44"/>
  <c r="I45" i="44"/>
  <c r="I43" i="44"/>
  <c r="I41" i="44"/>
  <c r="I39" i="44"/>
  <c r="I37" i="44"/>
  <c r="I35" i="44"/>
  <c r="I34" i="44"/>
  <c r="I33" i="44"/>
  <c r="I39" i="45"/>
  <c r="I32" i="45"/>
  <c r="F67" i="45"/>
  <c r="U29" i="45" l="1"/>
  <c r="T29" i="45"/>
  <c r="I19" i="45"/>
  <c r="I29" i="45"/>
  <c r="I12" i="45"/>
  <c r="I14" i="45"/>
  <c r="I18" i="45"/>
  <c r="I8" i="45"/>
  <c r="I13" i="45"/>
  <c r="I17" i="45"/>
  <c r="I10" i="45"/>
  <c r="I24" i="45"/>
  <c r="I11" i="45"/>
  <c r="I23" i="45"/>
  <c r="I15" i="45"/>
  <c r="I9" i="45"/>
  <c r="AD42" i="45" l="1"/>
  <c r="I25" i="45"/>
  <c r="J115" i="44"/>
  <c r="J114" i="44"/>
  <c r="J113" i="44"/>
  <c r="J112" i="44"/>
  <c r="J111" i="44"/>
  <c r="J110" i="44"/>
  <c r="J109" i="44"/>
  <c r="J108" i="44"/>
  <c r="J107" i="44"/>
  <c r="J106" i="44"/>
  <c r="J105" i="44"/>
  <c r="J104" i="44"/>
  <c r="J103" i="44"/>
  <c r="J102" i="44"/>
  <c r="J101" i="44"/>
  <c r="J100" i="44"/>
  <c r="J99" i="44"/>
  <c r="J98" i="44"/>
  <c r="J97" i="44"/>
  <c r="J96" i="44"/>
  <c r="J95" i="44"/>
  <c r="J94" i="44"/>
  <c r="J93" i="44"/>
  <c r="J92" i="44"/>
  <c r="J91" i="44"/>
  <c r="J90" i="44"/>
  <c r="J89" i="44"/>
  <c r="J88" i="44"/>
  <c r="J87" i="44"/>
  <c r="J86" i="44"/>
  <c r="J85" i="44"/>
  <c r="J84" i="44"/>
  <c r="J83" i="44"/>
  <c r="J82" i="44"/>
  <c r="J81" i="44"/>
  <c r="J80" i="44"/>
  <c r="J79" i="44"/>
  <c r="J78" i="44"/>
  <c r="J77" i="44"/>
  <c r="J76" i="44"/>
  <c r="J75" i="44"/>
  <c r="J74" i="44"/>
  <c r="J73" i="44"/>
  <c r="J72" i="44"/>
  <c r="J71" i="44"/>
  <c r="J70" i="44"/>
  <c r="J69" i="44"/>
  <c r="J68" i="44"/>
  <c r="J67" i="44"/>
  <c r="J66" i="44"/>
  <c r="J65" i="44"/>
  <c r="J64" i="44"/>
  <c r="J63" i="44"/>
  <c r="J62" i="44"/>
  <c r="J61" i="44"/>
  <c r="J60" i="44"/>
  <c r="J59" i="44"/>
  <c r="J58" i="44"/>
  <c r="J57" i="44"/>
  <c r="J56" i="44"/>
  <c r="J55" i="44"/>
  <c r="J54" i="44"/>
  <c r="J53" i="44"/>
  <c r="J52" i="44"/>
  <c r="J51" i="44"/>
  <c r="J50" i="44"/>
  <c r="J49" i="44"/>
  <c r="J48" i="44"/>
  <c r="J47" i="44"/>
  <c r="J46" i="44"/>
  <c r="J45" i="44"/>
  <c r="J44" i="44"/>
  <c r="J43" i="44"/>
  <c r="J42" i="44"/>
  <c r="J41" i="44"/>
  <c r="J40" i="44"/>
  <c r="J39" i="44"/>
  <c r="J38" i="44"/>
  <c r="J37" i="44"/>
  <c r="J36" i="44"/>
  <c r="J35" i="44"/>
  <c r="J34" i="44"/>
  <c r="J33" i="44"/>
  <c r="J32" i="44"/>
  <c r="J31" i="44"/>
  <c r="J30" i="44"/>
  <c r="J29" i="44"/>
  <c r="J28" i="44"/>
  <c r="J27" i="44"/>
  <c r="J26" i="44"/>
  <c r="J25" i="44"/>
  <c r="J24" i="44"/>
  <c r="J23" i="44"/>
  <c r="J22" i="44"/>
  <c r="J21" i="44"/>
  <c r="J20" i="44"/>
  <c r="J19" i="44"/>
  <c r="J18" i="44"/>
  <c r="J17" i="44"/>
  <c r="D94" i="44"/>
  <c r="C94" i="44"/>
  <c r="I38" i="45" l="1"/>
  <c r="D115" i="44"/>
  <c r="D114" i="44"/>
  <c r="D113" i="44"/>
  <c r="D112" i="44"/>
  <c r="D111" i="44"/>
  <c r="D110" i="44"/>
  <c r="D109" i="44"/>
  <c r="D108" i="44"/>
  <c r="D107" i="44"/>
  <c r="D106" i="44"/>
  <c r="D105" i="44"/>
  <c r="D104" i="44"/>
  <c r="D103" i="44"/>
  <c r="D102" i="44"/>
  <c r="D101" i="44"/>
  <c r="D100" i="44"/>
  <c r="D99" i="44"/>
  <c r="D98" i="44"/>
  <c r="D97" i="44"/>
  <c r="D96" i="44"/>
  <c r="D95" i="44"/>
  <c r="D93" i="44"/>
  <c r="D92" i="44"/>
  <c r="D91" i="44"/>
  <c r="D90" i="44"/>
  <c r="D89" i="44"/>
  <c r="D88" i="44"/>
  <c r="D87" i="44"/>
  <c r="D86" i="44"/>
  <c r="D85" i="44"/>
  <c r="D84" i="44"/>
  <c r="D83" i="44"/>
  <c r="D82" i="44"/>
  <c r="D81" i="44"/>
  <c r="D80" i="44"/>
  <c r="D79" i="44"/>
  <c r="D78" i="44"/>
  <c r="D77" i="44"/>
  <c r="D76" i="44"/>
  <c r="D75" i="44"/>
  <c r="D74" i="44"/>
  <c r="D73" i="44"/>
  <c r="D72" i="44"/>
  <c r="D71" i="44"/>
  <c r="D70" i="44"/>
  <c r="D69" i="44"/>
  <c r="D68" i="44"/>
  <c r="D67" i="44"/>
  <c r="D66" i="44"/>
  <c r="D65" i="44"/>
  <c r="D64" i="44"/>
  <c r="D63" i="44"/>
  <c r="D62" i="44"/>
  <c r="D61" i="44"/>
  <c r="D60" i="44"/>
  <c r="D59" i="44"/>
  <c r="D58" i="44"/>
  <c r="D57" i="44"/>
  <c r="D56" i="44"/>
  <c r="D55" i="44"/>
  <c r="D54" i="44"/>
  <c r="D53" i="44"/>
  <c r="D52" i="44"/>
  <c r="D51" i="44"/>
  <c r="D50" i="44"/>
  <c r="D49" i="44"/>
  <c r="D48" i="44"/>
  <c r="D47" i="44"/>
  <c r="D46" i="44"/>
  <c r="D45" i="44"/>
  <c r="D44" i="44"/>
  <c r="D16" i="44"/>
  <c r="D15" i="44"/>
  <c r="D14" i="44"/>
  <c r="D13" i="44"/>
  <c r="D12" i="44"/>
  <c r="D11" i="44"/>
  <c r="D10" i="44"/>
  <c r="D9" i="44"/>
  <c r="D8" i="44"/>
  <c r="D7" i="44"/>
  <c r="D6" i="44"/>
  <c r="D5" i="44"/>
  <c r="D28" i="44"/>
  <c r="D27" i="44"/>
  <c r="D26" i="44"/>
  <c r="D25" i="44"/>
  <c r="D24" i="44"/>
  <c r="D23" i="44"/>
  <c r="D22" i="44"/>
  <c r="D21" i="44"/>
  <c r="D20" i="44"/>
  <c r="D19" i="44"/>
  <c r="D18" i="44"/>
  <c r="D36" i="44"/>
  <c r="D35" i="44"/>
  <c r="D34" i="44"/>
  <c r="D33" i="44"/>
  <c r="D32" i="44"/>
  <c r="D31" i="44"/>
  <c r="D30" i="44"/>
  <c r="D29" i="44"/>
  <c r="D17" i="44"/>
  <c r="D4" i="44"/>
  <c r="E52" i="44"/>
  <c r="E53" i="44"/>
  <c r="E54" i="44"/>
  <c r="E55" i="44"/>
  <c r="E56" i="44"/>
  <c r="E57" i="44"/>
  <c r="E58" i="44"/>
  <c r="E59" i="44"/>
  <c r="E60" i="44"/>
  <c r="E61" i="44"/>
  <c r="E62" i="44"/>
  <c r="E63" i="44"/>
  <c r="E64" i="44"/>
  <c r="E65" i="44"/>
  <c r="E66" i="44"/>
  <c r="E67" i="44"/>
  <c r="I7" i="45"/>
  <c r="I32" i="44"/>
  <c r="I31" i="44"/>
  <c r="I30" i="44"/>
  <c r="I29" i="44"/>
  <c r="I28" i="44"/>
  <c r="I27" i="44"/>
  <c r="I26" i="44"/>
  <c r="I25" i="44"/>
  <c r="I24" i="44"/>
  <c r="I23" i="44"/>
  <c r="I22" i="44"/>
  <c r="I21" i="44"/>
  <c r="I20" i="44"/>
  <c r="I19" i="44"/>
  <c r="I18" i="44"/>
  <c r="I17" i="44"/>
  <c r="I16" i="44"/>
  <c r="I15" i="44"/>
  <c r="I14" i="44"/>
  <c r="I13" i="44"/>
  <c r="I12" i="44"/>
  <c r="I11" i="44"/>
  <c r="I10" i="44"/>
  <c r="I9" i="44"/>
  <c r="I8" i="44"/>
  <c r="I7" i="44"/>
  <c r="I6" i="44"/>
  <c r="I5" i="44"/>
  <c r="I4" i="44"/>
  <c r="C90" i="44"/>
  <c r="C88" i="44"/>
  <c r="C86" i="44"/>
  <c r="C84" i="44"/>
  <c r="C80" i="44"/>
  <c r="C78" i="44"/>
  <c r="C76" i="44"/>
  <c r="C74" i="44"/>
  <c r="C70" i="44"/>
  <c r="C68" i="44"/>
  <c r="J53" i="45"/>
  <c r="I53" i="45"/>
  <c r="J52" i="45"/>
  <c r="I52" i="45"/>
  <c r="G78" i="45"/>
  <c r="C115" i="44"/>
  <c r="C114" i="44"/>
  <c r="C113" i="44"/>
  <c r="C112" i="44"/>
  <c r="C111" i="44"/>
  <c r="C110" i="44"/>
  <c r="C109" i="44"/>
  <c r="C108" i="44"/>
  <c r="C107" i="44"/>
  <c r="C106" i="44"/>
  <c r="C104" i="44"/>
  <c r="C103" i="44"/>
  <c r="C100" i="44"/>
  <c r="C98" i="44"/>
  <c r="C97" i="44"/>
  <c r="C101" i="44"/>
  <c r="C95" i="44"/>
  <c r="C93" i="44"/>
  <c r="C91" i="44"/>
  <c r="C89" i="44"/>
  <c r="I4" i="45"/>
  <c r="I5" i="45"/>
  <c r="J16" i="45" l="1"/>
  <c r="J44" i="45"/>
  <c r="J6" i="45"/>
  <c r="J17" i="45"/>
  <c r="J31" i="45"/>
  <c r="J24" i="45"/>
  <c r="J12" i="45"/>
  <c r="J45" i="45"/>
  <c r="J8" i="45"/>
  <c r="J36" i="45"/>
  <c r="J10" i="45"/>
  <c r="J26" i="45"/>
  <c r="M44" i="45"/>
  <c r="M6" i="45"/>
  <c r="M17" i="45"/>
  <c r="M31" i="45"/>
  <c r="M24" i="45"/>
  <c r="M12" i="45"/>
  <c r="M45" i="45"/>
  <c r="M8" i="45"/>
  <c r="M36" i="45"/>
  <c r="M10" i="45"/>
  <c r="M26" i="45"/>
  <c r="P44" i="45"/>
  <c r="P6" i="45"/>
  <c r="P17" i="45"/>
  <c r="P31" i="45"/>
  <c r="P24" i="45"/>
  <c r="P28" i="45"/>
  <c r="P20" i="45"/>
  <c r="P25" i="45"/>
  <c r="P11" i="45"/>
  <c r="P26" i="45"/>
  <c r="J43" i="45"/>
  <c r="J22" i="45"/>
  <c r="J9" i="45"/>
  <c r="J19" i="45"/>
  <c r="J35" i="45"/>
  <c r="J30" i="45"/>
  <c r="J40" i="45"/>
  <c r="J29" i="45"/>
  <c r="J18" i="45"/>
  <c r="J27" i="45"/>
  <c r="J21" i="45"/>
  <c r="M43" i="45"/>
  <c r="M22" i="45"/>
  <c r="M9" i="45"/>
  <c r="M19" i="45"/>
  <c r="M35" i="45"/>
  <c r="M30" i="45"/>
  <c r="M40" i="45"/>
  <c r="M29" i="45"/>
  <c r="M18" i="45"/>
  <c r="M27" i="45"/>
  <c r="M21" i="45"/>
  <c r="P43" i="45"/>
  <c r="P22" i="45"/>
  <c r="P9" i="45"/>
  <c r="P19" i="45"/>
  <c r="P16" i="45"/>
  <c r="J33" i="45"/>
  <c r="J32" i="45"/>
  <c r="J15" i="45"/>
  <c r="J42" i="45"/>
  <c r="J46" i="45"/>
  <c r="M5" i="45"/>
  <c r="M37" i="45"/>
  <c r="M3" i="45"/>
  <c r="M34" i="45"/>
  <c r="M48" i="45"/>
  <c r="M14" i="45"/>
  <c r="P5" i="45"/>
  <c r="P37" i="45"/>
  <c r="P3" i="45"/>
  <c r="P23" i="45"/>
  <c r="P45" i="45"/>
  <c r="P29" i="45"/>
  <c r="P21" i="45"/>
  <c r="J3" i="45"/>
  <c r="J14" i="45"/>
  <c r="M15" i="45"/>
  <c r="M46" i="45"/>
  <c r="P35" i="45"/>
  <c r="P14" i="45"/>
  <c r="J13" i="45"/>
  <c r="J7" i="45"/>
  <c r="J39" i="45"/>
  <c r="J20" i="45"/>
  <c r="J11" i="45"/>
  <c r="J4" i="45"/>
  <c r="M41" i="45"/>
  <c r="M23" i="45"/>
  <c r="M38" i="45"/>
  <c r="P34" i="45"/>
  <c r="P18" i="45"/>
  <c r="M16" i="45"/>
  <c r="J47" i="45"/>
  <c r="J41" i="45"/>
  <c r="J23" i="45"/>
  <c r="J25" i="45"/>
  <c r="J38" i="45"/>
  <c r="M13" i="45"/>
  <c r="M7" i="45"/>
  <c r="M39" i="45"/>
  <c r="M20" i="45"/>
  <c r="M11" i="45"/>
  <c r="M4" i="45"/>
  <c r="P13" i="45"/>
  <c r="P7" i="45"/>
  <c r="P39" i="45"/>
  <c r="P12" i="45"/>
  <c r="P40" i="45"/>
  <c r="P48" i="45"/>
  <c r="P4" i="45"/>
  <c r="J5" i="45"/>
  <c r="J37" i="45"/>
  <c r="J34" i="45"/>
  <c r="J48" i="45"/>
  <c r="M33" i="45"/>
  <c r="M32" i="45"/>
  <c r="M42" i="45"/>
  <c r="P33" i="45"/>
  <c r="P32" i="45"/>
  <c r="P30" i="45"/>
  <c r="P42" i="45"/>
  <c r="P36" i="45"/>
  <c r="M47" i="45"/>
  <c r="M25" i="45"/>
  <c r="P47" i="45"/>
  <c r="P41" i="45"/>
  <c r="P15" i="45"/>
  <c r="P8" i="45"/>
  <c r="P10" i="45"/>
  <c r="P27" i="45"/>
  <c r="S44" i="45"/>
  <c r="S6" i="45"/>
  <c r="S17" i="45"/>
  <c r="S31" i="45"/>
  <c r="S24" i="45"/>
  <c r="S28" i="45"/>
  <c r="S20" i="45"/>
  <c r="S25" i="45"/>
  <c r="S11" i="45"/>
  <c r="S38" i="45"/>
  <c r="S4" i="45"/>
  <c r="S16" i="45"/>
  <c r="S43" i="45"/>
  <c r="S22" i="45"/>
  <c r="S9" i="45"/>
  <c r="S19" i="45"/>
  <c r="S35" i="45"/>
  <c r="S12" i="45"/>
  <c r="S45" i="45"/>
  <c r="S8" i="45"/>
  <c r="S36" i="45"/>
  <c r="S10" i="45"/>
  <c r="S21" i="45"/>
  <c r="S33" i="45"/>
  <c r="S32" i="45"/>
  <c r="S15" i="45"/>
  <c r="S40" i="45"/>
  <c r="S18" i="45"/>
  <c r="S37" i="45"/>
  <c r="S30" i="45"/>
  <c r="S7" i="45"/>
  <c r="S34" i="45"/>
  <c r="S14" i="45"/>
  <c r="S47" i="45"/>
  <c r="S41" i="45"/>
  <c r="S23" i="45"/>
  <c r="S42" i="45"/>
  <c r="S46" i="45"/>
  <c r="S5" i="45"/>
  <c r="S3" i="45"/>
  <c r="S27" i="45"/>
  <c r="S13" i="45"/>
  <c r="S39" i="45"/>
  <c r="S48" i="45"/>
  <c r="S29" i="45"/>
  <c r="P46" i="45"/>
  <c r="J28" i="45"/>
  <c r="M28" i="45"/>
  <c r="P38" i="45"/>
  <c r="C82" i="44" l="1"/>
  <c r="C87" i="44"/>
  <c r="C83" i="44"/>
  <c r="C85" i="44"/>
  <c r="S26" i="45"/>
  <c r="I31" i="45"/>
  <c r="I22" i="45"/>
  <c r="C33" i="44"/>
  <c r="C34" i="44"/>
  <c r="C35" i="44"/>
  <c r="C36" i="44"/>
  <c r="C37" i="44"/>
  <c r="C38" i="44"/>
  <c r="C39" i="44"/>
  <c r="C40" i="44"/>
  <c r="C41" i="44"/>
  <c r="C42" i="44"/>
  <c r="C43" i="44"/>
  <c r="C44" i="44"/>
  <c r="C45" i="44"/>
  <c r="C46" i="44"/>
  <c r="C47" i="44"/>
  <c r="C48" i="44"/>
  <c r="C49" i="44"/>
  <c r="C50" i="44"/>
  <c r="C51" i="44"/>
  <c r="C52" i="44"/>
  <c r="C53" i="44"/>
  <c r="C54" i="44"/>
  <c r="C55" i="44"/>
  <c r="C56" i="44"/>
  <c r="C57" i="44"/>
  <c r="C58" i="44"/>
  <c r="C59" i="44"/>
  <c r="C60" i="44"/>
  <c r="C61" i="44"/>
  <c r="C62" i="44"/>
  <c r="C63" i="44"/>
  <c r="C64" i="44"/>
  <c r="C65" i="44"/>
  <c r="C66" i="44"/>
  <c r="C67" i="44"/>
  <c r="C69" i="44"/>
  <c r="C71" i="44"/>
  <c r="C72" i="44"/>
  <c r="C73" i="44"/>
  <c r="C75" i="44"/>
  <c r="C77" i="44"/>
  <c r="C79" i="44"/>
  <c r="C81" i="44"/>
  <c r="C92" i="44"/>
  <c r="C96" i="44"/>
  <c r="C99" i="44"/>
  <c r="C102" i="44"/>
  <c r="C105" i="44"/>
  <c r="C3" i="44"/>
  <c r="C4" i="44"/>
  <c r="C5" i="44"/>
  <c r="C6" i="44"/>
  <c r="C7" i="44"/>
  <c r="C8" i="44"/>
  <c r="C9" i="44"/>
  <c r="C10" i="44"/>
  <c r="C11" i="44"/>
  <c r="C12" i="44"/>
  <c r="C13" i="44"/>
  <c r="C14" i="44"/>
  <c r="C15" i="44"/>
  <c r="C16" i="44"/>
  <c r="C17" i="44"/>
  <c r="C18" i="44"/>
  <c r="C19" i="44"/>
  <c r="C20" i="44"/>
  <c r="C21" i="44"/>
  <c r="C22" i="44"/>
  <c r="C23" i="44"/>
  <c r="C24" i="44"/>
  <c r="C25" i="44"/>
  <c r="C26" i="44"/>
  <c r="C27" i="44"/>
  <c r="C28" i="44"/>
  <c r="C29" i="44"/>
  <c r="C30" i="44"/>
  <c r="C31" i="44"/>
  <c r="C32" i="44"/>
  <c r="I36" i="45"/>
  <c r="AC19" i="45" l="1"/>
  <c r="AC29" i="45"/>
  <c r="AC38" i="45"/>
  <c r="B56" i="45"/>
  <c r="I30" i="45"/>
  <c r="F63" i="45"/>
  <c r="G67" i="45"/>
  <c r="G66" i="45"/>
  <c r="I40" i="45"/>
  <c r="F27" i="45" l="1"/>
  <c r="G27" i="45" s="1"/>
  <c r="F47" i="45"/>
  <c r="G47" i="45" s="1"/>
  <c r="F46" i="45"/>
  <c r="G46" i="45" s="1"/>
  <c r="F43" i="45"/>
  <c r="G43" i="45" s="1"/>
  <c r="F48" i="45"/>
  <c r="G48" i="45" s="1"/>
  <c r="F28" i="45"/>
  <c r="G28" i="45" s="1"/>
  <c r="F38" i="45"/>
  <c r="G38" i="45" s="1"/>
  <c r="F29" i="45"/>
  <c r="G29" i="45" s="1"/>
  <c r="F19" i="45"/>
  <c r="G19" i="45" s="1"/>
  <c r="F30" i="45"/>
  <c r="G30" i="45" s="1"/>
  <c r="F36" i="45"/>
  <c r="G36" i="45" s="1"/>
  <c r="F45" i="45"/>
  <c r="G45" i="45" s="1"/>
  <c r="F31" i="45"/>
  <c r="G31" i="45" s="1"/>
  <c r="F42" i="45"/>
  <c r="G42" i="45" s="1"/>
  <c r="G63" i="45"/>
  <c r="F73" i="45"/>
  <c r="F74" i="45"/>
  <c r="F75" i="45"/>
  <c r="F76" i="45"/>
  <c r="F77" i="45"/>
  <c r="F78" i="45"/>
  <c r="F79" i="45"/>
  <c r="F80" i="45"/>
  <c r="F81" i="45"/>
  <c r="F82" i="45"/>
  <c r="F83" i="45"/>
  <c r="F84" i="45"/>
  <c r="F53" i="44"/>
  <c r="F54" i="44"/>
  <c r="F55" i="44"/>
  <c r="F57" i="44"/>
  <c r="F56" i="44"/>
  <c r="F58" i="44"/>
  <c r="F59" i="44"/>
  <c r="F61" i="44"/>
  <c r="F60" i="44"/>
  <c r="F63" i="44"/>
  <c r="F62" i="44"/>
  <c r="F65" i="44"/>
  <c r="F64" i="44"/>
  <c r="F66" i="44"/>
  <c r="F67" i="44"/>
  <c r="F52" i="44"/>
  <c r="I3" i="45"/>
  <c r="I44" i="45"/>
  <c r="I41" i="45"/>
  <c r="B1" i="45"/>
  <c r="G84" i="45"/>
  <c r="G83" i="45"/>
  <c r="G82" i="45"/>
  <c r="G81" i="45"/>
  <c r="G80" i="45"/>
  <c r="G79" i="45"/>
  <c r="G77" i="45"/>
  <c r="G76" i="45"/>
  <c r="G75" i="45"/>
  <c r="G74" i="45"/>
  <c r="G73" i="45"/>
  <c r="I20" i="45"/>
  <c r="I26" i="45"/>
  <c r="I21" i="45"/>
  <c r="W16" i="45" l="1"/>
  <c r="V16" i="45"/>
  <c r="F64" i="45"/>
  <c r="F65" i="45"/>
  <c r="G65" i="45" s="1"/>
  <c r="F62" i="45"/>
  <c r="G62" i="45" s="1"/>
  <c r="F60" i="45"/>
  <c r="G60" i="45" s="1"/>
  <c r="V12" i="45"/>
  <c r="W12" i="45"/>
  <c r="V14" i="45"/>
  <c r="W14" i="45"/>
  <c r="V18" i="45"/>
  <c r="W18" i="45"/>
  <c r="W8" i="45"/>
  <c r="V8" i="45"/>
  <c r="W17" i="45"/>
  <c r="W13" i="45"/>
  <c r="V13" i="45"/>
  <c r="V10" i="45"/>
  <c r="V17" i="45"/>
  <c r="W10" i="45"/>
  <c r="V24" i="45"/>
  <c r="W24" i="45"/>
  <c r="V23" i="45"/>
  <c r="W23" i="45"/>
  <c r="V15" i="45"/>
  <c r="W15" i="45"/>
  <c r="V11" i="45"/>
  <c r="W11" i="45"/>
  <c r="V9" i="45"/>
  <c r="W9" i="45"/>
  <c r="V4" i="45"/>
  <c r="V6" i="45"/>
  <c r="W4" i="45"/>
  <c r="W6" i="45"/>
  <c r="F58" i="45"/>
  <c r="G58" i="45" s="1"/>
  <c r="F57" i="45"/>
  <c r="G57" i="45" s="1"/>
  <c r="AC33" i="45"/>
  <c r="W21" i="45"/>
  <c r="V3" i="45"/>
  <c r="V20" i="45"/>
  <c r="V7" i="45"/>
  <c r="V5" i="45"/>
  <c r="W7" i="45"/>
  <c r="W5" i="45"/>
  <c r="W3" i="45"/>
  <c r="W20" i="45"/>
  <c r="V21" i="45"/>
  <c r="AC37" i="45"/>
  <c r="AC26" i="45"/>
  <c r="AC32" i="45"/>
  <c r="AC44" i="45"/>
  <c r="F44" i="45" s="1"/>
  <c r="AC35" i="45"/>
  <c r="AC40" i="45"/>
  <c r="AC22" i="45"/>
  <c r="AC41" i="45"/>
  <c r="AC25" i="45"/>
  <c r="AC34" i="45"/>
  <c r="AC39" i="45"/>
  <c r="F16" i="45" l="1"/>
  <c r="G16" i="45" s="1"/>
  <c r="F3" i="45"/>
  <c r="G3" i="45" s="1"/>
  <c r="F21" i="45"/>
  <c r="G21" i="45" s="1"/>
  <c r="F5" i="45"/>
  <c r="G5" i="45" s="1"/>
  <c r="F8" i="45"/>
  <c r="F10" i="45"/>
  <c r="F7" i="45"/>
  <c r="G7" i="45" s="1"/>
  <c r="F20" i="45"/>
  <c r="G20" i="45" s="1"/>
  <c r="F13" i="45"/>
  <c r="G13" i="45" s="1"/>
  <c r="F22" i="45"/>
  <c r="G22" i="45" s="1"/>
  <c r="F35" i="45"/>
  <c r="G35" i="45" s="1"/>
  <c r="F37" i="45"/>
  <c r="G37" i="45" s="1"/>
  <c r="F9" i="45"/>
  <c r="G9" i="45" s="1"/>
  <c r="F15" i="45"/>
  <c r="G15" i="45" s="1"/>
  <c r="F24" i="45"/>
  <c r="G24" i="45" s="1"/>
  <c r="F14" i="45"/>
  <c r="G14" i="45" s="1"/>
  <c r="F12" i="45"/>
  <c r="G12" i="45" s="1"/>
  <c r="F39" i="45"/>
  <c r="G39" i="45" s="1"/>
  <c r="F34" i="45"/>
  <c r="G34" i="45" s="1"/>
  <c r="F40" i="45"/>
  <c r="G40" i="45" s="1"/>
  <c r="F33" i="45"/>
  <c r="G33" i="45" s="1"/>
  <c r="F26" i="45"/>
  <c r="G26" i="45" s="1"/>
  <c r="F25" i="45"/>
  <c r="G25" i="45" s="1"/>
  <c r="F6" i="45"/>
  <c r="G6" i="45" s="1"/>
  <c r="F41" i="45"/>
  <c r="G41" i="45" s="1"/>
  <c r="F32" i="45"/>
  <c r="G32" i="45" s="1"/>
  <c r="F4" i="45"/>
  <c r="G4" i="45" s="1"/>
  <c r="F11" i="45"/>
  <c r="G11" i="45" s="1"/>
  <c r="F23" i="45"/>
  <c r="G23" i="45" s="1"/>
  <c r="F17" i="45"/>
  <c r="G17" i="45" s="1"/>
  <c r="F18" i="45"/>
  <c r="G18" i="45" s="1"/>
  <c r="G8" i="45"/>
  <c r="G10" i="45"/>
  <c r="F59" i="45"/>
  <c r="G59" i="45" s="1"/>
  <c r="F61" i="45"/>
  <c r="G61" i="45" s="1"/>
  <c r="G64" i="45"/>
  <c r="G44" i="45"/>
  <c r="F68" i="45" l="1"/>
  <c r="G68" i="45" s="1"/>
</calcChain>
</file>

<file path=xl/sharedStrings.xml><?xml version="1.0" encoding="utf-8"?>
<sst xmlns="http://schemas.openxmlformats.org/spreadsheetml/2006/main" count="241" uniqueCount="198">
  <si>
    <t>verbruik</t>
  </si>
  <si>
    <t>Etrfvbr</t>
  </si>
  <si>
    <t>vanaf</t>
  </si>
  <si>
    <t>Vandebron</t>
  </si>
  <si>
    <t>Vaste leveringskosten per jaar</t>
  </si>
  <si>
    <t>Gewoon Energie</t>
  </si>
  <si>
    <t>Mega</t>
  </si>
  <si>
    <t>Pure Energie</t>
  </si>
  <si>
    <t>United Consumers</t>
  </si>
  <si>
    <t>Vrijopnaam</t>
  </si>
  <si>
    <t>1 jaar</t>
  </si>
  <si>
    <t>selecteer</t>
  </si>
  <si>
    <t>Terugleverkosten over bruto teruglevering per kWh</t>
  </si>
  <si>
    <t>kosten per jaar</t>
  </si>
  <si>
    <t>kosten per maand</t>
  </si>
  <si>
    <t>Gewogen marktprijs verbruik per jaar</t>
  </si>
  <si>
    <t>Gewogen marktprijs teruglevering per jaar</t>
  </si>
  <si>
    <t>Terugleverkosten over bruto teruglevering per jaar (staffel )</t>
  </si>
  <si>
    <t>Delta</t>
  </si>
  <si>
    <t>Energiedirect</t>
  </si>
  <si>
    <t>Essent</t>
  </si>
  <si>
    <t>Vattenfall</t>
  </si>
  <si>
    <t>Etotvbr</t>
  </si>
  <si>
    <t>Innova</t>
  </si>
  <si>
    <t>Energie Van Ons</t>
  </si>
  <si>
    <t>OM Nieuwe Energie</t>
  </si>
  <si>
    <t>Budget Energie</t>
  </si>
  <si>
    <t>Power Peers</t>
  </si>
  <si>
    <t>Frank Energie</t>
  </si>
  <si>
    <t>Vaste leveringskosten</t>
  </si>
  <si>
    <t>normaal</t>
  </si>
  <si>
    <t>dal</t>
  </si>
  <si>
    <t>teruglev</t>
  </si>
  <si>
    <t>Verbruik in kWh -&gt; vul in</t>
  </si>
  <si>
    <t>Teruglevering per kWh -&gt; vul in</t>
  </si>
  <si>
    <t>Leverancier -&gt; selecteer</t>
  </si>
  <si>
    <t>Inkoopvergoeding verbruik per kWh</t>
  </si>
  <si>
    <t>Totaal (euro)</t>
  </si>
  <si>
    <t>tot</t>
  </si>
  <si>
    <t>Eenmalige korting</t>
  </si>
  <si>
    <t>Update</t>
  </si>
  <si>
    <t>dynamisch verbruik</t>
  </si>
  <si>
    <t>Dit is de werkelijk afgenomen en teruggeleverde energie in kWh van en naar het net.</t>
  </si>
  <si>
    <t>per maand</t>
  </si>
  <si>
    <t>per jaar</t>
  </si>
  <si>
    <t>% normaal</t>
  </si>
  <si>
    <t>Vul in de bovenste gele velden het verbruik en de teruglevering in.</t>
  </si>
  <si>
    <t>Verbruiksgegevens</t>
  </si>
  <si>
    <t>Door het selecteren van de leverancier kunnen de details van de berekening worden weergegeven voor deze leverancier.</t>
  </si>
  <si>
    <t>De hoeveelheid energie bij normaaltarief en daltarief wordt automatisch berekend op basis van een standaard percentage dat indien nodig kan worden gewijzigd.</t>
  </si>
  <si>
    <t>Deze tabel laat zien wat de gemiddelde marktprijs is per kWh en inclusief btw per maand voor verbruik en teruglevering op basis van afgelopen jaar.</t>
  </si>
  <si>
    <t>per kWh</t>
  </si>
  <si>
    <t>Een eenmalige korting of loyaliteitsbonus wordt individueel bepaald. Vul deze desgewenst in in het lichtgele veld.</t>
  </si>
  <si>
    <t>Indien nodig kunnen de gemiddelde tarieven worden gewijzigd voor een specifieke situatie in het lichtgele velden.</t>
  </si>
  <si>
    <t>Energie VanOns</t>
  </si>
  <si>
    <t>Om Nieuwe Energie</t>
  </si>
  <si>
    <t>Etrfprd</t>
  </si>
  <si>
    <t>Etotprd</t>
  </si>
  <si>
    <t>Vul in of selecteer</t>
  </si>
  <si>
    <t>Energiebelasting 2025</t>
  </si>
  <si>
    <t>Inkoopvergoeding teruglevering per kWh binnen salderen</t>
  </si>
  <si>
    <t>Inkoopvergoeding teruglevering per kWh buiten salderen</t>
  </si>
  <si>
    <t>Mogelijke korting per jaar</t>
  </si>
  <si>
    <t>Gemiddeld tarief bruto verbruik per kWh excl. bel.</t>
  </si>
  <si>
    <t>Tarief bruto verbruik hoog per kWh excl. bel.</t>
  </si>
  <si>
    <t>Tarief bruto verbruik laag per kWh excl. bel.</t>
  </si>
  <si>
    <t>Gewogen tarief bruto teruglevering per kWh excl. bel.</t>
  </si>
  <si>
    <t>Tarief bruto teruglevering hoog per kWh excl. bel.</t>
  </si>
  <si>
    <t>Tarief bruto teruglevering laag per kWh excl. bel.</t>
  </si>
  <si>
    <t>Gewogen tarief netto verbruik per kWh excl. bel.</t>
  </si>
  <si>
    <t>Tarief netto verbruik hoog per kWh  excl. bel.</t>
  </si>
  <si>
    <t>Tarief netto verbruik laag per kWh excl. bel.</t>
  </si>
  <si>
    <t>Gewogen tarief netto teruglevering per kWh excl. bel.</t>
  </si>
  <si>
    <t>Tarief netto teruglevering hoog per kWh excl. bel.</t>
  </si>
  <si>
    <t>Tarief netto teruglevering laag per kWh excl. bel.</t>
  </si>
  <si>
    <t>Variabele vergoeding teruglevering</t>
  </si>
  <si>
    <t>Variabele kosten verbruik</t>
  </si>
  <si>
    <t>Variabele kosten energiebelasting</t>
  </si>
  <si>
    <t>Terugaaf energiebelasting</t>
  </si>
  <si>
    <t>Netbeheer (Stedin Utrecht)</t>
  </si>
  <si>
    <t>gewogen marktprijs per maand 2024</t>
  </si>
  <si>
    <t>De Nuts Groep</t>
  </si>
  <si>
    <t>Johan van Swaaij</t>
  </si>
  <si>
    <t>Energiekoepels in FR, GR en DR</t>
  </si>
  <si>
    <t>Edgeir Aksnes, Daniel Lindén</t>
  </si>
  <si>
    <t>Raedthuys Groep</t>
  </si>
  <si>
    <t>Pieter Zwart, HAL Investments</t>
  </si>
  <si>
    <t>Mitsubishi/Chubu</t>
  </si>
  <si>
    <t>Auke Ferwerda</t>
  </si>
  <si>
    <t>Joost Wieser</t>
  </si>
  <si>
    <t>Achmea, Rabobank</t>
  </si>
  <si>
    <t>Jan David Kleppe</t>
  </si>
  <si>
    <t>Stichting Administratiekantoor ANWB</t>
  </si>
  <si>
    <t>Coöperatie</t>
  </si>
  <si>
    <t>Terence Huijgen, Thomas Hulshof</t>
  </si>
  <si>
    <t>Chiriqui</t>
  </si>
  <si>
    <t>Eelco Wessels Boer</t>
  </si>
  <si>
    <t>Innova Energie</t>
  </si>
  <si>
    <t>Zweedse Staat</t>
  </si>
  <si>
    <t>Energie Concurrent/Eneco</t>
  </si>
  <si>
    <t>Eneco</t>
  </si>
  <si>
    <t>DE E.ON</t>
  </si>
  <si>
    <t>Engie</t>
  </si>
  <si>
    <t>Marc Kluijtmans, Casper Hengst, Bas Wijnen</t>
  </si>
  <si>
    <t>Franse Staat/NV</t>
  </si>
  <si>
    <t>Gijs Wubbe, Frederik op de Beeck</t>
  </si>
  <si>
    <t>Leverancier</t>
  </si>
  <si>
    <t>Eigenaar</t>
  </si>
  <si>
    <t>EnergyZero</t>
  </si>
  <si>
    <t>NieuweStroom</t>
  </si>
  <si>
    <t>Remko ten Barge</t>
  </si>
  <si>
    <t>Greenchoice</t>
  </si>
  <si>
    <t>Oxxio</t>
  </si>
  <si>
    <t>Powerpeers</t>
  </si>
  <si>
    <t>Centraal Beheer</t>
  </si>
  <si>
    <t>Hegg Energy</t>
  </si>
  <si>
    <t>SamSam</t>
  </si>
  <si>
    <t>EasyEnergy</t>
  </si>
  <si>
    <t>Groenpand</t>
  </si>
  <si>
    <t>HalloStroom</t>
  </si>
  <si>
    <t>Coolblue Energie</t>
  </si>
  <si>
    <t>ZonderGas</t>
  </si>
  <si>
    <t>Energie Concurrent</t>
  </si>
  <si>
    <t>Zonneplan</t>
  </si>
  <si>
    <t xml:space="preserve">Robert Lamot, Jonas Streng, Kees van Wensem, </t>
  </si>
  <si>
    <t>Sjef Peeraer, Marten Eikelboom, Robert Vet, Floris de Haes</t>
  </si>
  <si>
    <t>Alfons Wispels</t>
  </si>
  <si>
    <t>Bas Poell, Paul van Selms</t>
  </si>
  <si>
    <t>Thomas Coune, Michael Corhay, Pieter Schoen, Theo de Rooij</t>
  </si>
  <si>
    <t>Michiel Rexwinkel, Rob van Rees, John Appeldoorn</t>
  </si>
  <si>
    <t>ANWB Energie</t>
  </si>
  <si>
    <t>Klanten</t>
  </si>
  <si>
    <t>Tibber</t>
  </si>
  <si>
    <t>Holthausen Groep</t>
  </si>
  <si>
    <t>Stefan Holthausen, Carl Holthausen</t>
  </si>
  <si>
    <t>52 gemeenten en 8 waterschappen uit Noord-Holland, Zuid-Holland, Flevoland en Friesland</t>
  </si>
  <si>
    <t>NextEnergy</t>
  </si>
  <si>
    <t>Wesley de Kruijff</t>
  </si>
  <si>
    <t>Essent (model)</t>
  </si>
  <si>
    <t>Vandebron (1 jaar)</t>
  </si>
  <si>
    <t>Energiedirect (1 jaar)</t>
  </si>
  <si>
    <t>Budget Energie (1 jaar)</t>
  </si>
  <si>
    <t>Energie Van Ons (1 jaar)</t>
  </si>
  <si>
    <t>Greenchoice (1 jaar)</t>
  </si>
  <si>
    <t>Oxxio (1 jaar)</t>
  </si>
  <si>
    <t>Pure Energie (1 jaar)</t>
  </si>
  <si>
    <t>Vattenfall (1 jaar)</t>
  </si>
  <si>
    <t>Innova Energie (1 jaar)</t>
  </si>
  <si>
    <t>Gewoon Energie (1 jaar)</t>
  </si>
  <si>
    <t>Eneco (1 jaar)</t>
  </si>
  <si>
    <t>United Consumers (1 jaar)</t>
  </si>
  <si>
    <t>Delta (1 jaar)</t>
  </si>
  <si>
    <t>Mega (1 jaar)</t>
  </si>
  <si>
    <t>Essent (1 jaar)</t>
  </si>
  <si>
    <t>Powerpeers (1 jaar)</t>
  </si>
  <si>
    <t>Engie (1 jaar)</t>
  </si>
  <si>
    <t>Vrijopnaam  (1 jaar)</t>
  </si>
  <si>
    <t>Next Energy (dynamisch)</t>
  </si>
  <si>
    <t>Budget Energie (dynamisch)</t>
  </si>
  <si>
    <t>EasyEnergy (dynamisch)</t>
  </si>
  <si>
    <t>Frank Energie (dynamisch)</t>
  </si>
  <si>
    <t>HalloStroom (dynamisch)</t>
  </si>
  <si>
    <t>Innova Energie (dynamisch)</t>
  </si>
  <si>
    <t>Zonneplan (dynamisch)</t>
  </si>
  <si>
    <t>Vandebron (dynamisch)</t>
  </si>
  <si>
    <t>Tibber (dynamisch)</t>
  </si>
  <si>
    <t>Energie Van Ons (dynamisch)</t>
  </si>
  <si>
    <t>Pure Energie (dynamisch)</t>
  </si>
  <si>
    <t>Coolblue Energie (dynamisch)</t>
  </si>
  <si>
    <t>Eneco (dynamisch)</t>
  </si>
  <si>
    <t>ZonderGas (dynamisch)</t>
  </si>
  <si>
    <t>Centraal Beheer (dynamisch)</t>
  </si>
  <si>
    <t>Hegg Energy (dynamisch)</t>
  </si>
  <si>
    <t>SamSam (dynamisch)</t>
  </si>
  <si>
    <t>Greenchoice (dynamisch)</t>
  </si>
  <si>
    <t>ANWB Energie (dynamisch)</t>
  </si>
  <si>
    <t>Groenpand (variabel)</t>
  </si>
  <si>
    <t>vast</t>
  </si>
  <si>
    <t>dyn</t>
  </si>
  <si>
    <t>Aandeelhouders</t>
  </si>
  <si>
    <t>Clean Energy/HEM Energie</t>
  </si>
  <si>
    <t>Groenpand Groep B.V.</t>
  </si>
  <si>
    <t>Inkoopkosten verbruik</t>
  </si>
  <si>
    <t>Inkoopvergoeding teruglevering</t>
  </si>
  <si>
    <t>Terugleverkosten (staffel)</t>
  </si>
  <si>
    <t>Terugleverkosten (per kWh)</t>
  </si>
  <si>
    <t>Inkoopvergoeding verbruik per jaar</t>
  </si>
  <si>
    <t>Inkoopvergoeding teruglevering per jaar</t>
  </si>
  <si>
    <t>Vattenfall (model)</t>
  </si>
  <si>
    <t>Eneco (model)</t>
  </si>
  <si>
    <t>Vandebron (model)</t>
  </si>
  <si>
    <t>Delta (model)</t>
  </si>
  <si>
    <t>Aandeel groene stroom uit NL</t>
  </si>
  <si>
    <t>HVC</t>
  </si>
  <si>
    <t>OM Energie (1 jaar)</t>
  </si>
  <si>
    <t>OM Energie</t>
  </si>
  <si>
    <t>Clean Energy (1 jaar)</t>
  </si>
  <si>
    <t>EnergyZero (dynamisch)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</si>
</sst>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-* #,##0.0000_-;\-* #,##0.0000_-;_-* &quot;-&quot;??_-;_-@_-"/>
    <numFmt numFmtId="165" formatCode="_-* #,##0_-;\-* #,##0_-;_-* &quot;-&quot;??_-;_-@_-"/>
    <numFmt numFmtId="166" formatCode="[$€-2]\ #,##0;[Red]\-[$€-2]\ #,##0"/>
    <numFmt numFmtId="167" formatCode="_-* #,##0.00000_-;\-* #,##0.00000_-;_-* &quot;-&quot;??_-;_-@_-"/>
    <numFmt numFmtId="168" formatCode="0_ ;\-0\ "/>
    <numFmt numFmtId="169" formatCode="_-* #,##0.0000_-;\-* #,##0.0000_-;_-* &quot;-&quot;????_-;_-@_-"/>
  </numFmts>
  <fonts count="1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color rgb="FFC00000"/>
      <name val="Arial"/>
      <family val="2"/>
    </font>
    <font>
      <sz val="10"/>
      <color theme="6" tint="-0.249977111117893"/>
      <name val="Arial"/>
      <family val="2"/>
    </font>
    <font>
      <sz val="8"/>
      <name val="Arial"/>
      <family val="2"/>
    </font>
    <font>
      <sz val="10"/>
      <color rgb="FF0070C0"/>
      <name val="Arial"/>
      <family val="2"/>
    </font>
    <font>
      <b/>
      <sz val="10"/>
      <color rgb="FF0070C0"/>
      <name val="Arial"/>
      <family val="2"/>
    </font>
    <font>
      <u val="singleAccounting"/>
      <sz val="10"/>
      <color rgb="FF0070C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3">
    <xf numFmtId="0" fontId="0" fillId="0" borderId="0"/>
    <xf numFmtId="9" fontId="9" fillId="0" borderId="0" applyFont="0" applyFill="0" applyBorder="0" applyAlignment="0" applyProtection="0"/>
    <xf numFmtId="0" fontId="9" fillId="0" borderId="0"/>
    <xf numFmtId="0" fontId="7" fillId="0" borderId="0"/>
    <xf numFmtId="0" fontId="6" fillId="0" borderId="0"/>
    <xf numFmtId="0" fontId="9" fillId="0" borderId="0"/>
    <xf numFmtId="9" fontId="5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1" fillId="0" borderId="0"/>
  </cellStyleXfs>
  <cellXfs count="103">
    <xf numFmtId="0" fontId="0" fillId="0" borderId="0" xfId="0"/>
    <xf numFmtId="0" fontId="0" fillId="0" borderId="0" xfId="0" applyAlignment="1">
      <alignment horizontal="center"/>
    </xf>
    <xf numFmtId="2" fontId="0" fillId="0" borderId="0" xfId="0" applyNumberFormat="1"/>
    <xf numFmtId="0" fontId="0" fillId="2" borderId="0" xfId="0" applyFill="1"/>
    <xf numFmtId="0" fontId="9" fillId="2" borderId="10" xfId="0" applyFont="1" applyFill="1" applyBorder="1" applyAlignment="1">
      <alignment horizontal="center" textRotation="45" wrapText="1"/>
    </xf>
    <xf numFmtId="0" fontId="9" fillId="2" borderId="0" xfId="0" applyFont="1" applyFill="1" applyAlignment="1">
      <alignment horizontal="left"/>
    </xf>
    <xf numFmtId="0" fontId="9" fillId="2" borderId="10" xfId="0" applyFont="1" applyFill="1" applyBorder="1" applyAlignment="1">
      <alignment horizontal="center"/>
    </xf>
    <xf numFmtId="0" fontId="8" fillId="2" borderId="0" xfId="0" applyFont="1" applyFill="1" applyAlignment="1">
      <alignment wrapText="1"/>
    </xf>
    <xf numFmtId="0" fontId="9" fillId="2" borderId="0" xfId="0" applyFont="1" applyFill="1" applyAlignment="1">
      <alignment horizontal="center" textRotation="45" wrapText="1"/>
    </xf>
    <xf numFmtId="0" fontId="9" fillId="2" borderId="0" xfId="0" applyFont="1" applyFill="1"/>
    <xf numFmtId="0" fontId="0" fillId="0" borderId="10" xfId="0" applyBorder="1" applyAlignment="1">
      <alignment horizontal="center"/>
    </xf>
    <xf numFmtId="2" fontId="0" fillId="0" borderId="10" xfId="0" applyNumberFormat="1" applyBorder="1" applyAlignment="1">
      <alignment horizontal="center"/>
    </xf>
    <xf numFmtId="43" fontId="8" fillId="2" borderId="10" xfId="0" applyNumberFormat="1" applyFont="1" applyFill="1" applyBorder="1"/>
    <xf numFmtId="43" fontId="10" fillId="2" borderId="10" xfId="0" applyNumberFormat="1" applyFont="1" applyFill="1" applyBorder="1"/>
    <xf numFmtId="164" fontId="10" fillId="2" borderId="10" xfId="0" applyNumberFormat="1" applyFont="1" applyFill="1" applyBorder="1"/>
    <xf numFmtId="164" fontId="11" fillId="2" borderId="10" xfId="0" applyNumberFormat="1" applyFont="1" applyFill="1" applyBorder="1"/>
    <xf numFmtId="0" fontId="9" fillId="2" borderId="0" xfId="0" applyFont="1" applyFill="1" applyAlignment="1">
      <alignment wrapText="1"/>
    </xf>
    <xf numFmtId="0" fontId="9" fillId="0" borderId="10" xfId="0" applyFont="1" applyBorder="1" applyAlignment="1">
      <alignment horizontal="center" wrapText="1"/>
    </xf>
    <xf numFmtId="0" fontId="9" fillId="0" borderId="8" xfId="0" applyFont="1" applyBorder="1" applyAlignment="1">
      <alignment horizontal="center" wrapText="1"/>
    </xf>
    <xf numFmtId="166" fontId="0" fillId="0" borderId="0" xfId="0" applyNumberFormat="1"/>
    <xf numFmtId="165" fontId="0" fillId="2" borderId="0" xfId="0" applyNumberFormat="1" applyFill="1"/>
    <xf numFmtId="165" fontId="0" fillId="2" borderId="0" xfId="0" applyNumberFormat="1" applyFill="1" applyAlignment="1">
      <alignment horizontal="center"/>
    </xf>
    <xf numFmtId="43" fontId="0" fillId="2" borderId="0" xfId="0" applyNumberFormat="1" applyFill="1" applyAlignment="1">
      <alignment horizontal="center"/>
    </xf>
    <xf numFmtId="0" fontId="0" fillId="2" borderId="0" xfId="0" applyFill="1" applyAlignment="1">
      <alignment horizontal="center"/>
    </xf>
    <xf numFmtId="43" fontId="0" fillId="2" borderId="0" xfId="0" applyNumberFormat="1" applyFill="1"/>
    <xf numFmtId="164" fontId="9" fillId="2" borderId="0" xfId="0" applyNumberFormat="1" applyFont="1" applyFill="1" applyAlignment="1">
      <alignment horizontal="center"/>
    </xf>
    <xf numFmtId="0" fontId="8" fillId="2" borderId="4" xfId="0" applyFont="1" applyFill="1" applyBorder="1" applyAlignment="1">
      <alignment horizontal="center"/>
    </xf>
    <xf numFmtId="0" fontId="8" fillId="2" borderId="9" xfId="0" applyFont="1" applyFill="1" applyBorder="1" applyAlignment="1">
      <alignment horizontal="center"/>
    </xf>
    <xf numFmtId="0" fontId="8" fillId="2" borderId="5" xfId="0" applyFont="1" applyFill="1" applyBorder="1" applyAlignment="1">
      <alignment horizontal="center"/>
    </xf>
    <xf numFmtId="9" fontId="0" fillId="2" borderId="1" xfId="1" applyFont="1" applyFill="1" applyBorder="1" applyAlignment="1">
      <alignment horizontal="center"/>
    </xf>
    <xf numFmtId="9" fontId="0" fillId="2" borderId="7" xfId="1" applyFont="1" applyFill="1" applyBorder="1" applyAlignment="1">
      <alignment horizontal="center"/>
    </xf>
    <xf numFmtId="9" fontId="0" fillId="2" borderId="2" xfId="1" applyFont="1" applyFill="1" applyBorder="1" applyAlignment="1">
      <alignment horizontal="center"/>
    </xf>
    <xf numFmtId="9" fontId="0" fillId="2" borderId="6" xfId="1" applyFont="1" applyFill="1" applyBorder="1" applyAlignment="1">
      <alignment horizontal="center"/>
    </xf>
    <xf numFmtId="43" fontId="9" fillId="2" borderId="0" xfId="0" applyNumberFormat="1" applyFont="1" applyFill="1"/>
    <xf numFmtId="167" fontId="9" fillId="2" borderId="0" xfId="0" applyNumberFormat="1" applyFont="1" applyFill="1" applyAlignment="1">
      <alignment horizontal="center"/>
    </xf>
    <xf numFmtId="168" fontId="9" fillId="2" borderId="0" xfId="0" applyNumberFormat="1" applyFont="1" applyFill="1" applyAlignment="1">
      <alignment horizontal="center"/>
    </xf>
    <xf numFmtId="2" fontId="13" fillId="2" borderId="0" xfId="0" applyNumberFormat="1" applyFont="1" applyFill="1" applyAlignment="1">
      <alignment horizontal="center"/>
    </xf>
    <xf numFmtId="2" fontId="13" fillId="2" borderId="7" xfId="0" applyNumberFormat="1" applyFont="1" applyFill="1" applyBorder="1" applyAlignment="1">
      <alignment horizontal="center"/>
    </xf>
    <xf numFmtId="2" fontId="13" fillId="2" borderId="3" xfId="0" applyNumberFormat="1" applyFont="1" applyFill="1" applyBorder="1" applyAlignment="1">
      <alignment horizontal="center"/>
    </xf>
    <xf numFmtId="2" fontId="13" fillId="2" borderId="6" xfId="0" applyNumberFormat="1" applyFont="1" applyFill="1" applyBorder="1" applyAlignment="1">
      <alignment horizontal="center"/>
    </xf>
    <xf numFmtId="2" fontId="9" fillId="4" borderId="1" xfId="0" applyNumberFormat="1" applyFont="1" applyFill="1" applyBorder="1" applyAlignment="1">
      <alignment horizontal="center"/>
    </xf>
    <xf numFmtId="2" fontId="9" fillId="4" borderId="2" xfId="0" applyNumberFormat="1" applyFont="1" applyFill="1" applyBorder="1" applyAlignment="1">
      <alignment horizontal="center"/>
    </xf>
    <xf numFmtId="0" fontId="8" fillId="2" borderId="11" xfId="0" applyFont="1" applyFill="1" applyBorder="1"/>
    <xf numFmtId="0" fontId="9" fillId="2" borderId="12" xfId="0" applyFont="1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9" fillId="2" borderId="1" xfId="0" applyFont="1" applyFill="1" applyBorder="1"/>
    <xf numFmtId="9" fontId="0" fillId="4" borderId="0" xfId="1" applyFont="1" applyFill="1" applyBorder="1" applyAlignment="1">
      <alignment horizontal="center"/>
    </xf>
    <xf numFmtId="168" fontId="13" fillId="2" borderId="0" xfId="0" applyNumberFormat="1" applyFont="1" applyFill="1" applyAlignment="1">
      <alignment horizontal="center"/>
    </xf>
    <xf numFmtId="168" fontId="13" fillId="2" borderId="7" xfId="0" applyNumberFormat="1" applyFont="1" applyFill="1" applyBorder="1" applyAlignment="1">
      <alignment horizontal="center"/>
    </xf>
    <xf numFmtId="0" fontId="9" fillId="2" borderId="2" xfId="0" applyFont="1" applyFill="1" applyBorder="1"/>
    <xf numFmtId="0" fontId="9" fillId="2" borderId="13" xfId="0" applyFont="1" applyFill="1" applyBorder="1" applyAlignment="1">
      <alignment horizontal="center"/>
    </xf>
    <xf numFmtId="43" fontId="13" fillId="2" borderId="0" xfId="0" applyNumberFormat="1" applyFont="1" applyFill="1" applyAlignment="1">
      <alignment horizontal="center"/>
    </xf>
    <xf numFmtId="43" fontId="13" fillId="2" borderId="7" xfId="0" applyNumberFormat="1" applyFont="1" applyFill="1" applyBorder="1" applyAlignment="1">
      <alignment horizontal="center"/>
    </xf>
    <xf numFmtId="43" fontId="14" fillId="2" borderId="3" xfId="0" applyNumberFormat="1" applyFont="1" applyFill="1" applyBorder="1" applyAlignment="1">
      <alignment horizontal="center"/>
    </xf>
    <xf numFmtId="43" fontId="14" fillId="2" borderId="6" xfId="0" applyNumberFormat="1" applyFont="1" applyFill="1" applyBorder="1"/>
    <xf numFmtId="0" fontId="9" fillId="2" borderId="1" xfId="0" applyFont="1" applyFill="1" applyBorder="1" applyAlignment="1">
      <alignment horizontal="left"/>
    </xf>
    <xf numFmtId="16" fontId="9" fillId="2" borderId="7" xfId="0" applyNumberFormat="1" applyFont="1" applyFill="1" applyBorder="1" applyAlignment="1">
      <alignment horizontal="left"/>
    </xf>
    <xf numFmtId="16" fontId="9" fillId="2" borderId="6" xfId="0" applyNumberFormat="1" applyFont="1" applyFill="1" applyBorder="1" applyAlignment="1">
      <alignment horizontal="left"/>
    </xf>
    <xf numFmtId="43" fontId="15" fillId="2" borderId="0" xfId="0" applyNumberFormat="1" applyFont="1" applyFill="1" applyAlignment="1">
      <alignment horizontal="center"/>
    </xf>
    <xf numFmtId="43" fontId="15" fillId="2" borderId="7" xfId="0" applyNumberFormat="1" applyFont="1" applyFill="1" applyBorder="1" applyAlignment="1">
      <alignment horizontal="center"/>
    </xf>
    <xf numFmtId="2" fontId="9" fillId="4" borderId="7" xfId="0" applyNumberFormat="1" applyFont="1" applyFill="1" applyBorder="1" applyAlignment="1">
      <alignment horizontal="center"/>
    </xf>
    <xf numFmtId="2" fontId="9" fillId="4" borderId="6" xfId="0" applyNumberFormat="1" applyFont="1" applyFill="1" applyBorder="1" applyAlignment="1">
      <alignment horizontal="center"/>
    </xf>
    <xf numFmtId="43" fontId="11" fillId="4" borderId="10" xfId="0" applyNumberFormat="1" applyFont="1" applyFill="1" applyBorder="1"/>
    <xf numFmtId="169" fontId="0" fillId="2" borderId="0" xfId="0" applyNumberFormat="1" applyFill="1"/>
    <xf numFmtId="164" fontId="10" fillId="5" borderId="10" xfId="0" applyNumberFormat="1" applyFont="1" applyFill="1" applyBorder="1"/>
    <xf numFmtId="164" fontId="11" fillId="5" borderId="10" xfId="0" applyNumberFormat="1" applyFont="1" applyFill="1" applyBorder="1"/>
    <xf numFmtId="43" fontId="10" fillId="5" borderId="10" xfId="0" applyNumberFormat="1" applyFont="1" applyFill="1" applyBorder="1"/>
    <xf numFmtId="0" fontId="9" fillId="0" borderId="0" xfId="0" applyFont="1"/>
    <xf numFmtId="0" fontId="8" fillId="0" borderId="0" xfId="0" applyFont="1"/>
    <xf numFmtId="0" fontId="8" fillId="0" borderId="0" xfId="0" applyFont="1" applyAlignment="1">
      <alignment horizontal="center"/>
    </xf>
    <xf numFmtId="3" fontId="9" fillId="0" borderId="0" xfId="0" applyNumberFormat="1" applyFont="1" applyAlignment="1">
      <alignment horizontal="right"/>
    </xf>
    <xf numFmtId="3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8" fillId="2" borderId="12" xfId="0" applyFont="1" applyFill="1" applyBorder="1"/>
    <xf numFmtId="0" fontId="9" fillId="2" borderId="3" xfId="0" applyFont="1" applyFill="1" applyBorder="1"/>
    <xf numFmtId="0" fontId="9" fillId="2" borderId="0" xfId="0" applyFont="1" applyFill="1" applyAlignment="1">
      <alignment horizontal="right" wrapText="1"/>
    </xf>
    <xf numFmtId="3" fontId="9" fillId="2" borderId="0" xfId="0" applyNumberFormat="1" applyFont="1" applyFill="1" applyAlignment="1">
      <alignment horizontal="right"/>
    </xf>
    <xf numFmtId="3" fontId="0" fillId="2" borderId="0" xfId="0" applyNumberFormat="1" applyFill="1" applyAlignment="1">
      <alignment horizontal="right"/>
    </xf>
    <xf numFmtId="3" fontId="9" fillId="2" borderId="3" xfId="0" applyNumberFormat="1" applyFont="1" applyFill="1" applyBorder="1" applyAlignment="1">
      <alignment horizontal="right"/>
    </xf>
    <xf numFmtId="164" fontId="13" fillId="5" borderId="10" xfId="0" applyNumberFormat="1" applyFont="1" applyFill="1" applyBorder="1"/>
    <xf numFmtId="43" fontId="13" fillId="5" borderId="10" xfId="0" applyNumberFormat="1" applyFont="1" applyFill="1" applyBorder="1"/>
    <xf numFmtId="2" fontId="9" fillId="4" borderId="0" xfId="0" applyNumberFormat="1" applyFont="1" applyFill="1" applyAlignment="1">
      <alignment horizontal="center"/>
    </xf>
    <xf numFmtId="2" fontId="9" fillId="4" borderId="3" xfId="0" applyNumberFormat="1" applyFont="1" applyFill="1" applyBorder="1" applyAlignment="1">
      <alignment horizontal="center"/>
    </xf>
    <xf numFmtId="0" fontId="9" fillId="2" borderId="0" xfId="0" applyFont="1" applyFill="1" applyAlignment="1">
      <alignment horizontal="center" wrapText="1"/>
    </xf>
    <xf numFmtId="9" fontId="9" fillId="2" borderId="0" xfId="1" applyFont="1" applyFill="1" applyAlignment="1">
      <alignment horizontal="center"/>
    </xf>
    <xf numFmtId="9" fontId="9" fillId="2" borderId="0" xfId="1" applyFont="1" applyFill="1" applyBorder="1" applyAlignment="1">
      <alignment horizontal="center"/>
    </xf>
    <xf numFmtId="9" fontId="9" fillId="2" borderId="3" xfId="1" applyFont="1" applyFill="1" applyBorder="1" applyAlignment="1">
      <alignment horizontal="center"/>
    </xf>
    <xf numFmtId="0" fontId="8" fillId="2" borderId="5" xfId="0" applyFont="1" applyFill="1" applyBorder="1" applyAlignment="1">
      <alignment horizontal="center"/>
    </xf>
    <xf numFmtId="0" fontId="8" fillId="2" borderId="9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left"/>
    </xf>
    <xf numFmtId="0" fontId="9" fillId="3" borderId="3" xfId="0" applyFont="1" applyFill="1" applyBorder="1" applyAlignment="1">
      <alignment horizontal="left"/>
    </xf>
    <xf numFmtId="0" fontId="9" fillId="3" borderId="6" xfId="0" applyFont="1" applyFill="1" applyBorder="1" applyAlignment="1">
      <alignment horizontal="left"/>
    </xf>
    <xf numFmtId="0" fontId="8" fillId="2" borderId="11" xfId="0" applyFont="1" applyFill="1" applyBorder="1" applyAlignment="1">
      <alignment horizontal="center"/>
    </xf>
    <xf numFmtId="0" fontId="8" fillId="2" borderId="13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left"/>
    </xf>
    <xf numFmtId="0" fontId="9" fillId="2" borderId="0" xfId="0" applyFont="1" applyFill="1" applyAlignment="1">
      <alignment horizontal="left"/>
    </xf>
    <xf numFmtId="0" fontId="8" fillId="2" borderId="11" xfId="0" applyFont="1" applyFill="1" applyBorder="1" applyAlignment="1">
      <alignment horizontal="left"/>
    </xf>
    <xf numFmtId="0" fontId="8" fillId="2" borderId="12" xfId="0" applyFont="1" applyFill="1" applyBorder="1" applyAlignment="1">
      <alignment horizontal="left"/>
    </xf>
    <xf numFmtId="168" fontId="9" fillId="3" borderId="0" xfId="0" applyNumberFormat="1" applyFont="1" applyFill="1" applyAlignment="1">
      <alignment horizontal="left"/>
    </xf>
    <xf numFmtId="0" fontId="8" fillId="2" borderId="2" xfId="0" applyFont="1" applyFill="1" applyBorder="1" applyAlignment="1">
      <alignment horizontal="left"/>
    </xf>
    <xf numFmtId="0" fontId="8" fillId="2" borderId="3" xfId="0" applyFont="1" applyFill="1" applyBorder="1" applyAlignment="1">
      <alignment horizontal="left"/>
    </xf>
    <xf numFmtId="0" fontId="9" fillId="2" borderId="0" xfId="0" applyFont="1" applyFill="1" applyAlignment="1">
      <alignment horizontal="right"/>
    </xf>
  </cellXfs>
  <cellStyles count="13">
    <cellStyle name="Normal 2" xfId="2" xr:uid="{21A4325A-FF51-4B6C-932D-EB9AD2624D17}"/>
    <cellStyle name="Procent" xfId="1" builtinId="5"/>
    <cellStyle name="Procent 2" xfId="6" xr:uid="{6EB5E025-A3AB-4B08-90F6-4670F1E1D517}"/>
    <cellStyle name="Procent 3" xfId="7" xr:uid="{C26ECB3B-C101-4B1D-BE8D-EBD99F1AC443}"/>
    <cellStyle name="Procent 4" xfId="9" xr:uid="{9578EF07-8E0C-4490-B51B-420131A3483F}"/>
    <cellStyle name="Procent 5" xfId="11" xr:uid="{588F4020-18EF-47E3-9B7E-2414218C4A7B}"/>
    <cellStyle name="Standaard" xfId="0" builtinId="0"/>
    <cellStyle name="Standaard 2" xfId="3" xr:uid="{3E9B9BDD-ED82-4151-BA41-79B64474F4BD}"/>
    <cellStyle name="Standaard 2 2" xfId="5" xr:uid="{1D2A0B1E-B085-4AF8-A271-BCF29DB5EEB2}"/>
    <cellStyle name="Standaard 3" xfId="4" xr:uid="{1191DA63-35C8-47A6-8FA4-ADEC90053948}"/>
    <cellStyle name="Standaard 4" xfId="8" xr:uid="{E0C568CA-1DE7-4DB2-A939-8C78CABC9B99}"/>
    <cellStyle name="Standaard 5" xfId="10" xr:uid="{7FCF4268-293E-4A78-885F-84384BFAEBF6}"/>
    <cellStyle name="Standaard 6" xfId="12" xr:uid="{56CE5127-17C3-49B0-A2AE-2215E08A3876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CC"/>
      <color rgb="FF0000FF"/>
      <color rgb="FFFF9393"/>
      <color rgb="FFFF7D7D"/>
      <color rgb="FFFF7979"/>
      <color rgb="FFCD737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</xdr:colOff>
      <xdr:row>3</xdr:row>
      <xdr:rowOff>7620</xdr:rowOff>
    </xdr:from>
    <xdr:to>
      <xdr:col>9</xdr:col>
      <xdr:colOff>389439</xdr:colOff>
      <xdr:row>7</xdr:row>
      <xdr:rowOff>108693</xdr:rowOff>
    </xdr:to>
    <xdr:pic>
      <xdr:nvPicPr>
        <xdr:cNvPr id="10" name="Afbeelding 9">
          <a:extLst>
            <a:ext uri="{FF2B5EF4-FFF2-40B4-BE49-F238E27FC236}">
              <a16:creationId xmlns:a16="http://schemas.microsoft.com/office/drawing/2014/main" id="{1436C5F5-3C64-3A6C-181C-CDDE269F2C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" y="510540"/>
          <a:ext cx="5868219" cy="77163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9</xdr:row>
      <xdr:rowOff>0</xdr:rowOff>
    </xdr:from>
    <xdr:to>
      <xdr:col>6</xdr:col>
      <xdr:colOff>333932</xdr:colOff>
      <xdr:row>20</xdr:row>
      <xdr:rowOff>95527</xdr:rowOff>
    </xdr:to>
    <xdr:pic>
      <xdr:nvPicPr>
        <xdr:cNvPr id="12" name="Afbeelding 11">
          <a:extLst>
            <a:ext uri="{FF2B5EF4-FFF2-40B4-BE49-F238E27FC236}">
              <a16:creationId xmlns:a16="http://schemas.microsoft.com/office/drawing/2014/main" id="{DEC89460-E8C3-D28B-028D-57BE45497C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543050"/>
          <a:ext cx="3991532" cy="198147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23</xdr:row>
      <xdr:rowOff>9525</xdr:rowOff>
    </xdr:from>
    <xdr:to>
      <xdr:col>6</xdr:col>
      <xdr:colOff>181511</xdr:colOff>
      <xdr:row>37</xdr:row>
      <xdr:rowOff>95597</xdr:rowOff>
    </xdr:to>
    <xdr:pic>
      <xdr:nvPicPr>
        <xdr:cNvPr id="13" name="Afbeelding 12">
          <a:extLst>
            <a:ext uri="{FF2B5EF4-FFF2-40B4-BE49-F238E27FC236}">
              <a16:creationId xmlns:a16="http://schemas.microsoft.com/office/drawing/2014/main" id="{5967D183-7718-8C11-0FF1-7D6CFFE084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3952875"/>
          <a:ext cx="3839111" cy="248637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39</xdr:row>
      <xdr:rowOff>0</xdr:rowOff>
    </xdr:from>
    <xdr:to>
      <xdr:col>4</xdr:col>
      <xdr:colOff>67025</xdr:colOff>
      <xdr:row>75</xdr:row>
      <xdr:rowOff>86598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672F4995-9D6C-851B-2744-02635B8BB8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6686550"/>
          <a:ext cx="2505425" cy="625879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E8F738-BA5B-47F3-85FA-1969081A199F}">
  <dimension ref="A1:AL84"/>
  <sheetViews>
    <sheetView tabSelected="1" zoomScale="80" zoomScaleNormal="80" workbookViewId="0">
      <pane ySplit="2" topLeftCell="A3" activePane="bottomLeft" state="frozen"/>
      <selection pane="bottomLeft" activeCell="AH14" sqref="AH14"/>
    </sheetView>
  </sheetViews>
  <sheetFormatPr defaultRowHeight="13.2" x14ac:dyDescent="0.25"/>
  <cols>
    <col min="1" max="1" width="1.21875" style="3" customWidth="1"/>
    <col min="2" max="2" width="30.6640625" style="3" bestFit="1" customWidth="1"/>
    <col min="3" max="4" width="9.109375" style="3" customWidth="1"/>
    <col min="5" max="5" width="7.5546875" style="3" customWidth="1"/>
    <col min="6" max="22" width="9.21875" style="3" customWidth="1"/>
    <col min="23" max="30" width="9.21875" style="23" customWidth="1"/>
    <col min="31" max="32" width="10.109375" style="23" customWidth="1"/>
    <col min="33" max="33" width="1.33203125" style="3" customWidth="1"/>
    <col min="34" max="38" width="9.6640625" style="23" customWidth="1"/>
    <col min="39" max="16384" width="8.88671875" style="3"/>
  </cols>
  <sheetData>
    <row r="1" spans="2:38" ht="109.95" customHeight="1" x14ac:dyDescent="0.25">
      <c r="B1" s="16" t="str">
        <f>"Verbruik: "&amp;$E$52&amp;", Teruglevering: "&amp;$E$53</f>
        <v>Verbruik: 4800, Teruglevering: 2300</v>
      </c>
      <c r="C1" s="76" t="s">
        <v>131</v>
      </c>
      <c r="D1" s="84" t="s">
        <v>192</v>
      </c>
      <c r="E1" s="16" t="s">
        <v>40</v>
      </c>
      <c r="F1" s="4" t="s">
        <v>13</v>
      </c>
      <c r="G1" s="4" t="s">
        <v>14</v>
      </c>
      <c r="H1" s="4" t="s">
        <v>62</v>
      </c>
      <c r="I1" s="4" t="s">
        <v>4</v>
      </c>
      <c r="J1" s="4" t="s">
        <v>63</v>
      </c>
      <c r="K1" s="4" t="s">
        <v>64</v>
      </c>
      <c r="L1" s="4" t="s">
        <v>65</v>
      </c>
      <c r="M1" s="4" t="s">
        <v>66</v>
      </c>
      <c r="N1" s="4" t="s">
        <v>67</v>
      </c>
      <c r="O1" s="4" t="s">
        <v>68</v>
      </c>
      <c r="P1" s="4" t="s">
        <v>69</v>
      </c>
      <c r="Q1" s="4" t="s">
        <v>70</v>
      </c>
      <c r="R1" s="4" t="s">
        <v>71</v>
      </c>
      <c r="S1" s="4" t="s">
        <v>72</v>
      </c>
      <c r="T1" s="4" t="s">
        <v>73</v>
      </c>
      <c r="U1" s="4" t="s">
        <v>74</v>
      </c>
      <c r="V1" s="4" t="s">
        <v>15</v>
      </c>
      <c r="W1" s="4" t="s">
        <v>16</v>
      </c>
      <c r="X1" s="4" t="s">
        <v>186</v>
      </c>
      <c r="Y1" s="4" t="s">
        <v>187</v>
      </c>
      <c r="Z1" s="4" t="s">
        <v>36</v>
      </c>
      <c r="AA1" s="4" t="s">
        <v>60</v>
      </c>
      <c r="AB1" s="4" t="s">
        <v>61</v>
      </c>
      <c r="AC1" s="4" t="s">
        <v>17</v>
      </c>
      <c r="AD1" s="4" t="s">
        <v>12</v>
      </c>
      <c r="AE1" s="3"/>
      <c r="AF1" s="3"/>
      <c r="AH1" s="3"/>
      <c r="AI1" s="3"/>
      <c r="AJ1" s="3"/>
      <c r="AK1" s="3"/>
      <c r="AL1" s="3"/>
    </row>
    <row r="2" spans="2:38" ht="4.95" customHeight="1" x14ac:dyDescent="0.25">
      <c r="B2" s="16"/>
      <c r="C2" s="76"/>
      <c r="D2" s="76"/>
      <c r="E2" s="16"/>
      <c r="F2" s="7"/>
      <c r="G2" s="7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3"/>
      <c r="AF2" s="3"/>
      <c r="AH2" s="3"/>
      <c r="AI2" s="3"/>
      <c r="AJ2" s="3"/>
      <c r="AK2" s="3"/>
      <c r="AL2" s="3"/>
    </row>
    <row r="3" spans="2:38" x14ac:dyDescent="0.25">
      <c r="B3" s="56" t="s">
        <v>157</v>
      </c>
      <c r="C3" s="77">
        <v>50000</v>
      </c>
      <c r="D3" s="86">
        <v>0.03</v>
      </c>
      <c r="E3" s="57">
        <v>45656</v>
      </c>
      <c r="F3" s="12">
        <f t="shared" ref="F3:F48" si="0">$F$63+$F$66+$F$67+H3+I3+AC3+$E$53*AD3+$E$52*J3+$E$53*M3+IF($E$52&gt;$E$53,($E$52-$E$53)*P3,($E$53-$E$52)*S3)+V3+W3+$E$52*Z3+$E$53*AA3</f>
        <v>606.76984179057035</v>
      </c>
      <c r="G3" s="12">
        <f t="shared" ref="G3:G48" si="1">F3/12</f>
        <v>50.564153482547532</v>
      </c>
      <c r="H3" s="63">
        <v>-180</v>
      </c>
      <c r="I3" s="13">
        <f>5.99*12</f>
        <v>71.88</v>
      </c>
      <c r="J3" s="80">
        <f t="shared" ref="J3:J48" si="2">K3*$I$52/($I$52+$J$52)+L3*$J$52/($I$52+$J$52)</f>
        <v>0</v>
      </c>
      <c r="K3" s="14">
        <v>0</v>
      </c>
      <c r="L3" s="14">
        <v>0</v>
      </c>
      <c r="M3" s="80">
        <f t="shared" ref="M3:M48" si="3">N3*$I$52/($I$52+$J$52)+O3*$J$52/($I$52+$J$52)</f>
        <v>0</v>
      </c>
      <c r="N3" s="15">
        <v>0</v>
      </c>
      <c r="O3" s="15">
        <v>0</v>
      </c>
      <c r="P3" s="65">
        <f t="shared" ref="P3:P48" si="4">Q3*$I$52/($I$52+$J$52)+R3*$J$52/($I$52+$J$52)</f>
        <v>0</v>
      </c>
      <c r="Q3" s="14">
        <v>0</v>
      </c>
      <c r="R3" s="14">
        <v>0</v>
      </c>
      <c r="S3" s="66">
        <f t="shared" ref="S3:S48" si="5">T3*$I$53/($I$53+$J$53)+U3*$J$53/($I$53+$J$53)</f>
        <v>0</v>
      </c>
      <c r="T3" s="15">
        <v>0</v>
      </c>
      <c r="U3" s="15">
        <v>0</v>
      </c>
      <c r="V3" s="81">
        <f t="shared" ref="V3:V18" si="6">SUM(F$73:F$84)</f>
        <v>519.98827822926921</v>
      </c>
      <c r="W3" s="81">
        <f t="shared" ref="W3:W18" si="7">SUM(G$73:G$84)</f>
        <v>-97.283186438698792</v>
      </c>
      <c r="X3" s="81">
        <f t="shared" ref="X3:X48" si="8">Z3*$E$52</f>
        <v>105.11999999999999</v>
      </c>
      <c r="Y3" s="81">
        <f t="shared" ref="Y3:Y48" si="9">IF($E$53&lt;$E$52,AA3*$E$53,AA3*$E$52+AB3*($E$53-$E$52))</f>
        <v>50.37</v>
      </c>
      <c r="Z3" s="14">
        <v>2.1899999999999999E-2</v>
      </c>
      <c r="AA3" s="14">
        <v>2.1899999999999999E-2</v>
      </c>
      <c r="AB3" s="14">
        <v>2.1899999999999999E-2</v>
      </c>
      <c r="AC3" s="67">
        <v>0</v>
      </c>
      <c r="AD3" s="14">
        <v>0</v>
      </c>
      <c r="AE3" s="3"/>
      <c r="AF3" s="3"/>
      <c r="AH3" s="3"/>
      <c r="AI3" s="3"/>
      <c r="AJ3" s="3"/>
      <c r="AK3" s="3"/>
      <c r="AL3" s="3"/>
    </row>
    <row r="4" spans="2:38" x14ac:dyDescent="0.25">
      <c r="B4" s="56" t="s">
        <v>158</v>
      </c>
      <c r="C4" s="77">
        <v>30000</v>
      </c>
      <c r="D4" s="85">
        <v>0.125</v>
      </c>
      <c r="E4" s="57">
        <v>45656</v>
      </c>
      <c r="F4" s="12">
        <f t="shared" si="0"/>
        <v>683.73184179057057</v>
      </c>
      <c r="G4" s="12">
        <f t="shared" si="1"/>
        <v>56.977653482547545</v>
      </c>
      <c r="H4" s="63"/>
      <c r="I4" s="13">
        <f>5.99*12</f>
        <v>71.88</v>
      </c>
      <c r="J4" s="80">
        <f t="shared" si="2"/>
        <v>0</v>
      </c>
      <c r="K4" s="14">
        <v>0</v>
      </c>
      <c r="L4" s="14">
        <v>0</v>
      </c>
      <c r="M4" s="80">
        <f t="shared" si="3"/>
        <v>0</v>
      </c>
      <c r="N4" s="15">
        <v>0</v>
      </c>
      <c r="O4" s="15">
        <v>0</v>
      </c>
      <c r="P4" s="65">
        <f t="shared" si="4"/>
        <v>0</v>
      </c>
      <c r="Q4" s="14">
        <v>0</v>
      </c>
      <c r="R4" s="14">
        <v>0</v>
      </c>
      <c r="S4" s="66">
        <f t="shared" si="5"/>
        <v>0</v>
      </c>
      <c r="T4" s="15">
        <v>0</v>
      </c>
      <c r="U4" s="15">
        <v>0</v>
      </c>
      <c r="V4" s="81">
        <f t="shared" si="6"/>
        <v>519.98827822926921</v>
      </c>
      <c r="W4" s="81">
        <f t="shared" si="7"/>
        <v>-97.283186438698792</v>
      </c>
      <c r="X4" s="81">
        <f t="shared" si="8"/>
        <v>100.75200000000001</v>
      </c>
      <c r="Y4" s="81">
        <f t="shared" si="9"/>
        <v>-48.300000000000004</v>
      </c>
      <c r="Z4" s="14">
        <v>2.0990000000000002E-2</v>
      </c>
      <c r="AA4" s="15">
        <v>-2.1000000000000001E-2</v>
      </c>
      <c r="AB4" s="14">
        <v>0</v>
      </c>
      <c r="AC4" s="67">
        <v>0</v>
      </c>
      <c r="AD4" s="14">
        <v>0</v>
      </c>
      <c r="AE4" s="3"/>
      <c r="AF4" s="3"/>
      <c r="AH4" s="3"/>
      <c r="AI4" s="3"/>
      <c r="AJ4" s="3"/>
      <c r="AK4" s="3"/>
      <c r="AL4" s="3"/>
    </row>
    <row r="5" spans="2:38" x14ac:dyDescent="0.25">
      <c r="B5" s="56" t="s">
        <v>163</v>
      </c>
      <c r="C5" s="77">
        <v>30000</v>
      </c>
      <c r="D5" s="86">
        <v>0</v>
      </c>
      <c r="E5" s="57">
        <v>45656</v>
      </c>
      <c r="F5" s="12">
        <f t="shared" si="0"/>
        <v>684.39984179057046</v>
      </c>
      <c r="G5" s="12">
        <f t="shared" si="1"/>
        <v>57.033320149214205</v>
      </c>
      <c r="H5" s="63"/>
      <c r="I5" s="13">
        <f>6.25*12</f>
        <v>75</v>
      </c>
      <c r="J5" s="80">
        <f t="shared" si="2"/>
        <v>0</v>
      </c>
      <c r="K5" s="14">
        <v>0</v>
      </c>
      <c r="L5" s="14">
        <v>0</v>
      </c>
      <c r="M5" s="80">
        <f t="shared" si="3"/>
        <v>0</v>
      </c>
      <c r="N5" s="15">
        <v>0</v>
      </c>
      <c r="O5" s="15">
        <v>0</v>
      </c>
      <c r="P5" s="65">
        <f t="shared" si="4"/>
        <v>0</v>
      </c>
      <c r="Q5" s="14">
        <v>0</v>
      </c>
      <c r="R5" s="14">
        <v>0</v>
      </c>
      <c r="S5" s="66">
        <f t="shared" si="5"/>
        <v>0</v>
      </c>
      <c r="T5" s="15">
        <v>0</v>
      </c>
      <c r="U5" s="15">
        <v>0</v>
      </c>
      <c r="V5" s="81">
        <f t="shared" si="6"/>
        <v>519.98827822926921</v>
      </c>
      <c r="W5" s="81">
        <f t="shared" si="7"/>
        <v>-97.283186438698792</v>
      </c>
      <c r="X5" s="81">
        <f t="shared" si="8"/>
        <v>96</v>
      </c>
      <c r="Y5" s="81">
        <f t="shared" si="9"/>
        <v>-46</v>
      </c>
      <c r="Z5" s="14">
        <v>0.02</v>
      </c>
      <c r="AA5" s="15">
        <v>-0.02</v>
      </c>
      <c r="AB5" s="15">
        <v>-0.02</v>
      </c>
      <c r="AC5" s="67">
        <v>0</v>
      </c>
      <c r="AD5" s="14">
        <v>0</v>
      </c>
      <c r="AE5" s="3"/>
      <c r="AF5" s="3"/>
      <c r="AH5" s="3"/>
      <c r="AI5" s="3"/>
      <c r="AJ5" s="3"/>
      <c r="AK5" s="3"/>
      <c r="AL5" s="3"/>
    </row>
    <row r="6" spans="2:38" x14ac:dyDescent="0.25">
      <c r="B6" s="56" t="s">
        <v>164</v>
      </c>
      <c r="C6" s="77"/>
      <c r="D6" s="85">
        <v>1</v>
      </c>
      <c r="E6" s="57">
        <v>45656</v>
      </c>
      <c r="F6" s="12">
        <f t="shared" si="0"/>
        <v>689.09984179057051</v>
      </c>
      <c r="G6" s="12">
        <f t="shared" si="1"/>
        <v>57.424986815880878</v>
      </c>
      <c r="H6" s="63"/>
      <c r="I6" s="13">
        <v>75</v>
      </c>
      <c r="J6" s="80">
        <f t="shared" si="2"/>
        <v>0</v>
      </c>
      <c r="K6" s="14">
        <v>0</v>
      </c>
      <c r="L6" s="14">
        <v>0</v>
      </c>
      <c r="M6" s="80">
        <f t="shared" si="3"/>
        <v>0</v>
      </c>
      <c r="N6" s="15">
        <v>0</v>
      </c>
      <c r="O6" s="15">
        <v>0</v>
      </c>
      <c r="P6" s="65">
        <f t="shared" si="4"/>
        <v>0</v>
      </c>
      <c r="Q6" s="14">
        <v>0</v>
      </c>
      <c r="R6" s="14">
        <v>0</v>
      </c>
      <c r="S6" s="66">
        <f t="shared" si="5"/>
        <v>0</v>
      </c>
      <c r="T6" s="15">
        <v>0</v>
      </c>
      <c r="U6" s="15">
        <v>0</v>
      </c>
      <c r="V6" s="81">
        <f t="shared" si="6"/>
        <v>519.98827822926921</v>
      </c>
      <c r="W6" s="81">
        <f t="shared" si="7"/>
        <v>-97.283186438698792</v>
      </c>
      <c r="X6" s="81">
        <f t="shared" si="8"/>
        <v>105.024</v>
      </c>
      <c r="Y6" s="81">
        <f t="shared" si="9"/>
        <v>-50.323999999999998</v>
      </c>
      <c r="Z6" s="14">
        <v>2.188E-2</v>
      </c>
      <c r="AA6" s="15">
        <v>-2.188E-2</v>
      </c>
      <c r="AB6" s="14">
        <v>0</v>
      </c>
      <c r="AC6" s="67"/>
      <c r="AD6" s="14"/>
      <c r="AE6" s="3"/>
      <c r="AF6" s="3"/>
      <c r="AH6" s="3"/>
      <c r="AI6" s="3"/>
      <c r="AJ6" s="3"/>
      <c r="AK6" s="3"/>
      <c r="AL6" s="3"/>
    </row>
    <row r="7" spans="2:38" x14ac:dyDescent="0.25">
      <c r="B7" s="56" t="s">
        <v>165</v>
      </c>
      <c r="C7" s="77">
        <v>30000</v>
      </c>
      <c r="D7" s="85">
        <v>1</v>
      </c>
      <c r="E7" s="57">
        <v>45656</v>
      </c>
      <c r="F7" s="12">
        <f t="shared" si="0"/>
        <v>693.29234179057039</v>
      </c>
      <c r="G7" s="12">
        <f t="shared" si="1"/>
        <v>57.774361815880866</v>
      </c>
      <c r="H7" s="63"/>
      <c r="I7" s="13">
        <f>5.99*12</f>
        <v>71.88</v>
      </c>
      <c r="J7" s="80">
        <f t="shared" si="2"/>
        <v>0</v>
      </c>
      <c r="K7" s="14">
        <v>0</v>
      </c>
      <c r="L7" s="14">
        <v>0</v>
      </c>
      <c r="M7" s="80">
        <f t="shared" si="3"/>
        <v>0</v>
      </c>
      <c r="N7" s="15">
        <v>0</v>
      </c>
      <c r="O7" s="15">
        <v>0</v>
      </c>
      <c r="P7" s="65">
        <f t="shared" si="4"/>
        <v>0</v>
      </c>
      <c r="Q7" s="14">
        <v>0</v>
      </c>
      <c r="R7" s="14">
        <v>0</v>
      </c>
      <c r="S7" s="66">
        <f t="shared" si="5"/>
        <v>0</v>
      </c>
      <c r="T7" s="15">
        <v>0</v>
      </c>
      <c r="U7" s="15">
        <v>0</v>
      </c>
      <c r="V7" s="81">
        <f t="shared" si="6"/>
        <v>519.98827822926921</v>
      </c>
      <c r="W7" s="81">
        <f t="shared" si="7"/>
        <v>-97.283186438698792</v>
      </c>
      <c r="X7" s="81">
        <f t="shared" si="8"/>
        <v>119.06400000000001</v>
      </c>
      <c r="Y7" s="81">
        <f t="shared" si="9"/>
        <v>-57.051500000000004</v>
      </c>
      <c r="Z7" s="14">
        <v>2.4805000000000001E-2</v>
      </c>
      <c r="AA7" s="15">
        <v>-2.4805000000000001E-2</v>
      </c>
      <c r="AB7" s="15">
        <v>-2.4805000000000001E-2</v>
      </c>
      <c r="AC7" s="67">
        <v>0</v>
      </c>
      <c r="AD7" s="14">
        <v>0</v>
      </c>
      <c r="AE7" s="3"/>
      <c r="AF7" s="3"/>
      <c r="AH7" s="3"/>
      <c r="AI7" s="3"/>
      <c r="AJ7" s="3"/>
      <c r="AK7" s="3"/>
      <c r="AL7" s="3"/>
    </row>
    <row r="8" spans="2:38" x14ac:dyDescent="0.25">
      <c r="B8" s="56" t="s">
        <v>166</v>
      </c>
      <c r="C8" s="77"/>
      <c r="D8" s="85">
        <v>1</v>
      </c>
      <c r="E8" s="57">
        <v>45656</v>
      </c>
      <c r="F8" s="12">
        <f t="shared" si="0"/>
        <v>693.70984179057041</v>
      </c>
      <c r="G8" s="12">
        <f t="shared" si="1"/>
        <v>57.809153482547536</v>
      </c>
      <c r="H8" s="63"/>
      <c r="I8" s="13">
        <f>4.13*12</f>
        <v>49.56</v>
      </c>
      <c r="J8" s="80">
        <f t="shared" si="2"/>
        <v>0</v>
      </c>
      <c r="K8" s="14">
        <v>0</v>
      </c>
      <c r="L8" s="14">
        <v>0</v>
      </c>
      <c r="M8" s="80">
        <f t="shared" si="3"/>
        <v>0</v>
      </c>
      <c r="N8" s="15">
        <v>0</v>
      </c>
      <c r="O8" s="15">
        <v>0</v>
      </c>
      <c r="P8" s="65">
        <f t="shared" si="4"/>
        <v>0</v>
      </c>
      <c r="Q8" s="14">
        <v>0</v>
      </c>
      <c r="R8" s="14">
        <v>0</v>
      </c>
      <c r="S8" s="66">
        <f t="shared" si="5"/>
        <v>0</v>
      </c>
      <c r="T8" s="15">
        <v>0</v>
      </c>
      <c r="U8" s="15">
        <v>0</v>
      </c>
      <c r="V8" s="81">
        <f t="shared" si="6"/>
        <v>519.98827822926921</v>
      </c>
      <c r="W8" s="81">
        <f t="shared" si="7"/>
        <v>-97.283186438698792</v>
      </c>
      <c r="X8" s="81">
        <f t="shared" si="8"/>
        <v>162.72</v>
      </c>
      <c r="Y8" s="81">
        <f t="shared" si="9"/>
        <v>-77.97</v>
      </c>
      <c r="Z8" s="14">
        <v>3.39E-2</v>
      </c>
      <c r="AA8" s="15">
        <v>-3.39E-2</v>
      </c>
      <c r="AB8" s="14">
        <v>0</v>
      </c>
      <c r="AC8" s="67">
        <v>0</v>
      </c>
      <c r="AD8" s="14">
        <v>0</v>
      </c>
      <c r="AE8" s="3"/>
      <c r="AF8" s="3"/>
      <c r="AH8" s="3"/>
      <c r="AI8" s="3"/>
      <c r="AJ8" s="3"/>
      <c r="AK8" s="3"/>
      <c r="AL8" s="3"/>
    </row>
    <row r="9" spans="2:38" x14ac:dyDescent="0.25">
      <c r="B9" s="56" t="s">
        <v>167</v>
      </c>
      <c r="C9" s="77"/>
      <c r="D9" s="85">
        <v>1</v>
      </c>
      <c r="E9" s="57">
        <v>45656</v>
      </c>
      <c r="F9" s="12">
        <f t="shared" si="0"/>
        <v>693.77984179057046</v>
      </c>
      <c r="G9" s="12">
        <f t="shared" si="1"/>
        <v>57.814986815880872</v>
      </c>
      <c r="H9" s="63"/>
      <c r="I9" s="13">
        <f>5.99*12</f>
        <v>71.88</v>
      </c>
      <c r="J9" s="80">
        <f t="shared" si="2"/>
        <v>0</v>
      </c>
      <c r="K9" s="14">
        <v>0</v>
      </c>
      <c r="L9" s="14">
        <v>0</v>
      </c>
      <c r="M9" s="80">
        <f t="shared" si="3"/>
        <v>0</v>
      </c>
      <c r="N9" s="15">
        <v>0</v>
      </c>
      <c r="O9" s="15">
        <v>0</v>
      </c>
      <c r="P9" s="65">
        <f t="shared" si="4"/>
        <v>0</v>
      </c>
      <c r="Q9" s="14">
        <v>0</v>
      </c>
      <c r="R9" s="14">
        <v>0</v>
      </c>
      <c r="S9" s="66">
        <f t="shared" si="5"/>
        <v>0</v>
      </c>
      <c r="T9" s="15">
        <v>0</v>
      </c>
      <c r="U9" s="15">
        <v>0</v>
      </c>
      <c r="V9" s="81">
        <f t="shared" si="6"/>
        <v>519.98827822926921</v>
      </c>
      <c r="W9" s="81">
        <f t="shared" si="7"/>
        <v>-97.283186438698792</v>
      </c>
      <c r="X9" s="81">
        <f t="shared" si="8"/>
        <v>120</v>
      </c>
      <c r="Y9" s="81">
        <f t="shared" si="9"/>
        <v>-57.5</v>
      </c>
      <c r="Z9" s="14">
        <v>2.5000000000000001E-2</v>
      </c>
      <c r="AA9" s="15">
        <v>-2.5000000000000001E-2</v>
      </c>
      <c r="AB9" s="14">
        <v>0</v>
      </c>
      <c r="AC9" s="67">
        <v>0</v>
      </c>
      <c r="AD9" s="14">
        <v>0</v>
      </c>
      <c r="AE9" s="3"/>
      <c r="AF9" s="3"/>
      <c r="AH9" s="3"/>
      <c r="AI9" s="3"/>
      <c r="AJ9" s="3"/>
      <c r="AK9" s="3"/>
      <c r="AL9" s="3"/>
    </row>
    <row r="10" spans="2:38" x14ac:dyDescent="0.25">
      <c r="B10" s="56" t="s">
        <v>168</v>
      </c>
      <c r="C10" s="77"/>
      <c r="D10" s="85">
        <v>1</v>
      </c>
      <c r="E10" s="57">
        <v>45656</v>
      </c>
      <c r="F10" s="12">
        <f t="shared" si="0"/>
        <v>701.34984179057051</v>
      </c>
      <c r="G10" s="12">
        <f t="shared" si="1"/>
        <v>58.445820149214207</v>
      </c>
      <c r="H10" s="63"/>
      <c r="I10" s="13">
        <f>7.1*12</f>
        <v>85.199999999999989</v>
      </c>
      <c r="J10" s="80">
        <f t="shared" si="2"/>
        <v>0</v>
      </c>
      <c r="K10" s="14">
        <v>0</v>
      </c>
      <c r="L10" s="14">
        <v>0</v>
      </c>
      <c r="M10" s="80">
        <f t="shared" si="3"/>
        <v>0</v>
      </c>
      <c r="N10" s="15">
        <v>0</v>
      </c>
      <c r="O10" s="15">
        <v>0</v>
      </c>
      <c r="P10" s="65">
        <f t="shared" si="4"/>
        <v>0</v>
      </c>
      <c r="Q10" s="14">
        <v>0</v>
      </c>
      <c r="R10" s="14">
        <v>0</v>
      </c>
      <c r="S10" s="66">
        <f t="shared" si="5"/>
        <v>0</v>
      </c>
      <c r="T10" s="15">
        <v>0</v>
      </c>
      <c r="U10" s="15">
        <v>0</v>
      </c>
      <c r="V10" s="81">
        <f t="shared" si="6"/>
        <v>519.98827822926921</v>
      </c>
      <c r="W10" s="81">
        <f t="shared" si="7"/>
        <v>-97.283186438698792</v>
      </c>
      <c r="X10" s="81">
        <f t="shared" si="8"/>
        <v>108.96000000000001</v>
      </c>
      <c r="Y10" s="81">
        <f t="shared" si="9"/>
        <v>-52.21</v>
      </c>
      <c r="Z10" s="14">
        <v>2.2700000000000001E-2</v>
      </c>
      <c r="AA10" s="15">
        <v>-2.2700000000000001E-2</v>
      </c>
      <c r="AB10" s="14">
        <v>0</v>
      </c>
      <c r="AC10" s="67">
        <v>0</v>
      </c>
      <c r="AD10" s="14">
        <v>0</v>
      </c>
      <c r="AE10" s="3"/>
      <c r="AF10" s="3"/>
      <c r="AH10" s="3"/>
      <c r="AI10" s="3"/>
      <c r="AJ10" s="3"/>
      <c r="AK10" s="3"/>
      <c r="AL10" s="3"/>
    </row>
    <row r="11" spans="2:38" x14ac:dyDescent="0.25">
      <c r="B11" s="56" t="s">
        <v>169</v>
      </c>
      <c r="C11" s="77">
        <v>30000</v>
      </c>
      <c r="D11" s="85">
        <v>0.66200000000000003</v>
      </c>
      <c r="E11" s="57">
        <v>45656</v>
      </c>
      <c r="F11" s="12">
        <f t="shared" si="0"/>
        <v>706.74984179057049</v>
      </c>
      <c r="G11" s="12">
        <f t="shared" si="1"/>
        <v>58.895820149214209</v>
      </c>
      <c r="H11" s="63"/>
      <c r="I11" s="13">
        <f>7*12</f>
        <v>84</v>
      </c>
      <c r="J11" s="80">
        <f t="shared" si="2"/>
        <v>0</v>
      </c>
      <c r="K11" s="14">
        <v>0</v>
      </c>
      <c r="L11" s="14">
        <v>0</v>
      </c>
      <c r="M11" s="80">
        <f t="shared" si="3"/>
        <v>0</v>
      </c>
      <c r="N11" s="15">
        <v>0</v>
      </c>
      <c r="O11" s="15">
        <v>0</v>
      </c>
      <c r="P11" s="65">
        <f t="shared" si="4"/>
        <v>0</v>
      </c>
      <c r="Q11" s="14">
        <v>0</v>
      </c>
      <c r="R11" s="14">
        <v>0</v>
      </c>
      <c r="S11" s="66">
        <f t="shared" si="5"/>
        <v>0</v>
      </c>
      <c r="T11" s="15">
        <v>0</v>
      </c>
      <c r="U11" s="15">
        <v>0</v>
      </c>
      <c r="V11" s="81">
        <f t="shared" si="6"/>
        <v>519.98827822926921</v>
      </c>
      <c r="W11" s="81">
        <f t="shared" si="7"/>
        <v>-97.283186438698792</v>
      </c>
      <c r="X11" s="81">
        <f t="shared" si="8"/>
        <v>121.63200000000001</v>
      </c>
      <c r="Y11" s="81">
        <f t="shared" si="9"/>
        <v>-58.282000000000004</v>
      </c>
      <c r="Z11" s="14">
        <v>2.5340000000000001E-2</v>
      </c>
      <c r="AA11" s="15">
        <v>-2.5340000000000001E-2</v>
      </c>
      <c r="AB11" s="14">
        <v>2.5340000000000001E-2</v>
      </c>
      <c r="AC11" s="67">
        <v>0</v>
      </c>
      <c r="AD11" s="14">
        <v>0</v>
      </c>
      <c r="AE11" s="3"/>
      <c r="AF11" s="3"/>
      <c r="AH11" s="3"/>
      <c r="AI11" s="3"/>
      <c r="AJ11" s="3"/>
      <c r="AK11" s="3"/>
      <c r="AL11" s="3"/>
    </row>
    <row r="12" spans="2:38" x14ac:dyDescent="0.25">
      <c r="B12" s="56" t="s">
        <v>174</v>
      </c>
      <c r="C12" s="77"/>
      <c r="D12" s="85">
        <v>0.94299999999999995</v>
      </c>
      <c r="E12" s="57">
        <v>45656</v>
      </c>
      <c r="F12" s="12">
        <f t="shared" si="0"/>
        <v>718.66984179057044</v>
      </c>
      <c r="G12" s="12">
        <f t="shared" si="1"/>
        <v>59.889153482547535</v>
      </c>
      <c r="H12" s="63"/>
      <c r="I12" s="13">
        <f>6.21*12</f>
        <v>74.52</v>
      </c>
      <c r="J12" s="80">
        <f t="shared" si="2"/>
        <v>0</v>
      </c>
      <c r="K12" s="14">
        <v>0</v>
      </c>
      <c r="L12" s="14">
        <v>0</v>
      </c>
      <c r="M12" s="80">
        <f t="shared" si="3"/>
        <v>0</v>
      </c>
      <c r="N12" s="15">
        <v>0</v>
      </c>
      <c r="O12" s="15">
        <v>0</v>
      </c>
      <c r="P12" s="65">
        <f t="shared" si="4"/>
        <v>0</v>
      </c>
      <c r="Q12" s="14">
        <v>0</v>
      </c>
      <c r="R12" s="14">
        <v>0</v>
      </c>
      <c r="S12" s="66">
        <f t="shared" si="5"/>
        <v>0</v>
      </c>
      <c r="T12" s="15">
        <v>0</v>
      </c>
      <c r="U12" s="15">
        <v>0</v>
      </c>
      <c r="V12" s="81">
        <f t="shared" si="6"/>
        <v>519.98827822926921</v>
      </c>
      <c r="W12" s="81">
        <f t="shared" si="7"/>
        <v>-97.283186438698792</v>
      </c>
      <c r="X12" s="81">
        <f t="shared" si="8"/>
        <v>162.72</v>
      </c>
      <c r="Y12" s="81">
        <f t="shared" si="9"/>
        <v>-77.97</v>
      </c>
      <c r="Z12" s="14">
        <v>3.39E-2</v>
      </c>
      <c r="AA12" s="15">
        <v>-3.39E-2</v>
      </c>
      <c r="AB12" s="14">
        <v>0</v>
      </c>
      <c r="AC12" s="67">
        <v>0</v>
      </c>
      <c r="AD12" s="14">
        <v>0</v>
      </c>
      <c r="AE12" s="3"/>
      <c r="AF12" s="3"/>
      <c r="AH12" s="3"/>
      <c r="AI12" s="3"/>
      <c r="AJ12" s="3"/>
      <c r="AK12" s="3"/>
      <c r="AL12" s="3"/>
    </row>
    <row r="13" spans="2:38" x14ac:dyDescent="0.25">
      <c r="B13" s="56" t="s">
        <v>170</v>
      </c>
      <c r="C13" s="77">
        <v>2000</v>
      </c>
      <c r="D13" s="85"/>
      <c r="E13" s="57">
        <v>45656</v>
      </c>
      <c r="F13" s="12">
        <f t="shared" si="0"/>
        <v>722.02984179057046</v>
      </c>
      <c r="G13" s="12">
        <f t="shared" si="1"/>
        <v>60.169153482547536</v>
      </c>
      <c r="H13" s="63"/>
      <c r="I13" s="13">
        <f>6.49*12</f>
        <v>77.88</v>
      </c>
      <c r="J13" s="80">
        <f t="shared" si="2"/>
        <v>0</v>
      </c>
      <c r="K13" s="14">
        <v>0</v>
      </c>
      <c r="L13" s="14">
        <v>0</v>
      </c>
      <c r="M13" s="80">
        <f t="shared" si="3"/>
        <v>0</v>
      </c>
      <c r="N13" s="15">
        <v>0</v>
      </c>
      <c r="O13" s="15">
        <v>0</v>
      </c>
      <c r="P13" s="65">
        <f t="shared" si="4"/>
        <v>0</v>
      </c>
      <c r="Q13" s="14">
        <v>0</v>
      </c>
      <c r="R13" s="14">
        <v>0</v>
      </c>
      <c r="S13" s="66">
        <f t="shared" si="5"/>
        <v>0</v>
      </c>
      <c r="T13" s="15">
        <v>0</v>
      </c>
      <c r="U13" s="15">
        <v>0</v>
      </c>
      <c r="V13" s="81">
        <f t="shared" si="6"/>
        <v>519.98827822926921</v>
      </c>
      <c r="W13" s="81">
        <f t="shared" si="7"/>
        <v>-97.283186438698792</v>
      </c>
      <c r="X13" s="81">
        <f t="shared" si="8"/>
        <v>162.72</v>
      </c>
      <c r="Y13" s="81">
        <f t="shared" si="9"/>
        <v>-77.97</v>
      </c>
      <c r="Z13" s="14">
        <v>3.39E-2</v>
      </c>
      <c r="AA13" s="15">
        <v>-3.39E-2</v>
      </c>
      <c r="AB13" s="14">
        <v>0</v>
      </c>
      <c r="AC13" s="67">
        <v>0</v>
      </c>
      <c r="AD13" s="14">
        <v>0</v>
      </c>
      <c r="AE13" s="3"/>
      <c r="AF13" s="3"/>
      <c r="AH13" s="3"/>
      <c r="AI13" s="3"/>
      <c r="AJ13" s="3"/>
      <c r="AK13" s="3"/>
      <c r="AL13" s="3"/>
    </row>
    <row r="14" spans="2:38" x14ac:dyDescent="0.25">
      <c r="B14" s="56" t="s">
        <v>171</v>
      </c>
      <c r="C14" s="77"/>
      <c r="D14" s="85"/>
      <c r="E14" s="57">
        <v>45656</v>
      </c>
      <c r="F14" s="12">
        <f t="shared" si="0"/>
        <v>728.14984179057046</v>
      </c>
      <c r="G14" s="12">
        <f t="shared" si="1"/>
        <v>60.679153482547541</v>
      </c>
      <c r="H14" s="63"/>
      <c r="I14" s="13">
        <f>7*12</f>
        <v>84</v>
      </c>
      <c r="J14" s="80">
        <f t="shared" si="2"/>
        <v>0</v>
      </c>
      <c r="K14" s="14">
        <v>0</v>
      </c>
      <c r="L14" s="14">
        <v>0</v>
      </c>
      <c r="M14" s="80">
        <f t="shared" si="3"/>
        <v>0</v>
      </c>
      <c r="N14" s="15">
        <v>0</v>
      </c>
      <c r="O14" s="15">
        <v>0</v>
      </c>
      <c r="P14" s="65">
        <f t="shared" si="4"/>
        <v>0</v>
      </c>
      <c r="Q14" s="14">
        <v>0</v>
      </c>
      <c r="R14" s="14">
        <v>0</v>
      </c>
      <c r="S14" s="66">
        <f t="shared" si="5"/>
        <v>0</v>
      </c>
      <c r="T14" s="15">
        <v>0</v>
      </c>
      <c r="U14" s="15">
        <v>0</v>
      </c>
      <c r="V14" s="81">
        <f t="shared" si="6"/>
        <v>519.98827822926921</v>
      </c>
      <c r="W14" s="81">
        <f t="shared" si="7"/>
        <v>-97.283186438698792</v>
      </c>
      <c r="X14" s="81">
        <f t="shared" si="8"/>
        <v>162.72</v>
      </c>
      <c r="Y14" s="81">
        <f t="shared" si="9"/>
        <v>-77.97</v>
      </c>
      <c r="Z14" s="14">
        <v>3.39E-2</v>
      </c>
      <c r="AA14" s="15">
        <v>-3.39E-2</v>
      </c>
      <c r="AB14" s="14">
        <v>0</v>
      </c>
      <c r="AC14" s="67">
        <v>0</v>
      </c>
      <c r="AD14" s="14">
        <v>0</v>
      </c>
      <c r="AE14" s="3"/>
      <c r="AF14" s="3"/>
      <c r="AH14" s="3"/>
      <c r="AI14" s="3"/>
      <c r="AJ14" s="3"/>
      <c r="AK14" s="3"/>
      <c r="AL14" s="3"/>
    </row>
    <row r="15" spans="2:38" x14ac:dyDescent="0.25">
      <c r="B15" s="56" t="s">
        <v>172</v>
      </c>
      <c r="C15" s="77"/>
      <c r="D15" s="85">
        <v>1</v>
      </c>
      <c r="E15" s="57">
        <v>45656</v>
      </c>
      <c r="F15" s="12">
        <f t="shared" si="0"/>
        <v>734.14984179057046</v>
      </c>
      <c r="G15" s="12">
        <f t="shared" si="1"/>
        <v>61.179153482547541</v>
      </c>
      <c r="H15" s="63"/>
      <c r="I15" s="13">
        <f>7.5*12</f>
        <v>90</v>
      </c>
      <c r="J15" s="80">
        <f t="shared" si="2"/>
        <v>0</v>
      </c>
      <c r="K15" s="14">
        <v>0</v>
      </c>
      <c r="L15" s="14">
        <v>0</v>
      </c>
      <c r="M15" s="80">
        <f t="shared" si="3"/>
        <v>0</v>
      </c>
      <c r="N15" s="15">
        <v>0</v>
      </c>
      <c r="O15" s="15">
        <v>0</v>
      </c>
      <c r="P15" s="65">
        <f t="shared" si="4"/>
        <v>0</v>
      </c>
      <c r="Q15" s="14">
        <v>0</v>
      </c>
      <c r="R15" s="14">
        <v>0</v>
      </c>
      <c r="S15" s="66">
        <f t="shared" si="5"/>
        <v>0</v>
      </c>
      <c r="T15" s="15">
        <v>0</v>
      </c>
      <c r="U15" s="15">
        <v>0</v>
      </c>
      <c r="V15" s="81">
        <f t="shared" si="6"/>
        <v>519.98827822926921</v>
      </c>
      <c r="W15" s="81">
        <f t="shared" si="7"/>
        <v>-97.283186438698792</v>
      </c>
      <c r="X15" s="81">
        <f t="shared" si="8"/>
        <v>162.72</v>
      </c>
      <c r="Y15" s="81">
        <f t="shared" si="9"/>
        <v>-77.97</v>
      </c>
      <c r="Z15" s="14">
        <v>3.39E-2</v>
      </c>
      <c r="AA15" s="15">
        <v>-3.39E-2</v>
      </c>
      <c r="AB15" s="14">
        <v>0</v>
      </c>
      <c r="AC15" s="67">
        <v>0</v>
      </c>
      <c r="AD15" s="14">
        <v>0</v>
      </c>
      <c r="AE15" s="3"/>
      <c r="AF15" s="3"/>
      <c r="AH15" s="3"/>
      <c r="AI15" s="3"/>
      <c r="AJ15" s="3"/>
      <c r="AK15" s="3"/>
      <c r="AL15" s="3"/>
    </row>
    <row r="16" spans="2:38" x14ac:dyDescent="0.25">
      <c r="B16" s="56" t="s">
        <v>197</v>
      </c>
      <c r="C16" s="77">
        <v>30000</v>
      </c>
      <c r="D16" s="85">
        <v>1</v>
      </c>
      <c r="E16" s="57">
        <v>45662</v>
      </c>
      <c r="F16" s="12">
        <f t="shared" si="0"/>
        <v>734.21984179057051</v>
      </c>
      <c r="G16" s="12">
        <f t="shared" si="1"/>
        <v>61.184986815880876</v>
      </c>
      <c r="H16" s="63"/>
      <c r="I16" s="13">
        <f>7.51*12</f>
        <v>90.12</v>
      </c>
      <c r="J16" s="80">
        <f t="shared" si="2"/>
        <v>0</v>
      </c>
      <c r="K16" s="14">
        <v>0</v>
      </c>
      <c r="L16" s="14">
        <v>0</v>
      </c>
      <c r="M16" s="80">
        <f t="shared" si="3"/>
        <v>0</v>
      </c>
      <c r="N16" s="15">
        <v>0</v>
      </c>
      <c r="O16" s="15">
        <v>0</v>
      </c>
      <c r="P16" s="65">
        <f t="shared" si="4"/>
        <v>0</v>
      </c>
      <c r="Q16" s="14">
        <v>0</v>
      </c>
      <c r="R16" s="14">
        <v>0</v>
      </c>
      <c r="S16" s="66">
        <f t="shared" si="5"/>
        <v>0</v>
      </c>
      <c r="T16" s="15">
        <v>0</v>
      </c>
      <c r="U16" s="15">
        <v>0</v>
      </c>
      <c r="V16" s="81">
        <f t="shared" si="6"/>
        <v>519.98827822926921</v>
      </c>
      <c r="W16" s="81">
        <f t="shared" si="7"/>
        <v>-97.283186438698792</v>
      </c>
      <c r="X16" s="81">
        <f t="shared" si="8"/>
        <v>162.624</v>
      </c>
      <c r="Y16" s="81">
        <f t="shared" si="9"/>
        <v>-77.924000000000007</v>
      </c>
      <c r="Z16" s="14">
        <v>3.388E-2</v>
      </c>
      <c r="AA16" s="15">
        <v>-3.388E-2</v>
      </c>
      <c r="AB16" s="14">
        <v>0</v>
      </c>
      <c r="AC16" s="67">
        <v>0</v>
      </c>
      <c r="AD16" s="14">
        <v>0</v>
      </c>
      <c r="AE16" s="3"/>
      <c r="AF16" s="3"/>
      <c r="AH16" s="3"/>
      <c r="AI16" s="3"/>
      <c r="AJ16" s="3"/>
      <c r="AK16" s="3"/>
      <c r="AL16" s="3"/>
    </row>
    <row r="17" spans="2:38" x14ac:dyDescent="0.25">
      <c r="B17" s="56" t="s">
        <v>173</v>
      </c>
      <c r="C17" s="77">
        <v>7000</v>
      </c>
      <c r="D17" s="85">
        <v>1</v>
      </c>
      <c r="E17" s="57">
        <v>45656</v>
      </c>
      <c r="F17" s="12">
        <f t="shared" si="0"/>
        <v>740.02984179057046</v>
      </c>
      <c r="G17" s="12">
        <f t="shared" si="1"/>
        <v>61.669153482547536</v>
      </c>
      <c r="H17" s="63"/>
      <c r="I17" s="13">
        <f>7.99*12</f>
        <v>95.88</v>
      </c>
      <c r="J17" s="80">
        <f t="shared" si="2"/>
        <v>0</v>
      </c>
      <c r="K17" s="14">
        <v>0</v>
      </c>
      <c r="L17" s="14">
        <v>0</v>
      </c>
      <c r="M17" s="80">
        <f t="shared" si="3"/>
        <v>0</v>
      </c>
      <c r="N17" s="15">
        <v>0</v>
      </c>
      <c r="O17" s="15">
        <v>0</v>
      </c>
      <c r="P17" s="65">
        <f t="shared" si="4"/>
        <v>0</v>
      </c>
      <c r="Q17" s="14">
        <v>0</v>
      </c>
      <c r="R17" s="14">
        <v>0</v>
      </c>
      <c r="S17" s="66">
        <f t="shared" si="5"/>
        <v>0</v>
      </c>
      <c r="T17" s="15">
        <v>0</v>
      </c>
      <c r="U17" s="15">
        <v>0</v>
      </c>
      <c r="V17" s="81">
        <f t="shared" si="6"/>
        <v>519.98827822926921</v>
      </c>
      <c r="W17" s="81">
        <f t="shared" si="7"/>
        <v>-97.283186438698792</v>
      </c>
      <c r="X17" s="81">
        <f t="shared" si="8"/>
        <v>162.72</v>
      </c>
      <c r="Y17" s="81">
        <f t="shared" si="9"/>
        <v>-77.97</v>
      </c>
      <c r="Z17" s="14">
        <v>3.39E-2</v>
      </c>
      <c r="AA17" s="15">
        <v>-3.39E-2</v>
      </c>
      <c r="AB17" s="14">
        <v>0</v>
      </c>
      <c r="AC17" s="67">
        <v>0</v>
      </c>
      <c r="AD17" s="14">
        <v>0</v>
      </c>
      <c r="AE17" s="3"/>
      <c r="AF17" s="3"/>
      <c r="AH17" s="3"/>
      <c r="AI17" s="3"/>
      <c r="AJ17" s="3"/>
      <c r="AK17" s="3"/>
      <c r="AL17" s="3"/>
    </row>
    <row r="18" spans="2:38" x14ac:dyDescent="0.25">
      <c r="B18" s="56" t="s">
        <v>159</v>
      </c>
      <c r="C18" s="77"/>
      <c r="D18" s="85">
        <v>0</v>
      </c>
      <c r="E18" s="57">
        <v>45656</v>
      </c>
      <c r="F18" s="12">
        <f t="shared" si="0"/>
        <v>741.81984179057042</v>
      </c>
      <c r="G18" s="12">
        <f t="shared" si="1"/>
        <v>61.818320149214202</v>
      </c>
      <c r="H18" s="63"/>
      <c r="I18" s="13">
        <f>5*12</f>
        <v>60</v>
      </c>
      <c r="J18" s="80">
        <f t="shared" si="2"/>
        <v>0</v>
      </c>
      <c r="K18" s="14">
        <v>0</v>
      </c>
      <c r="L18" s="14">
        <v>0</v>
      </c>
      <c r="M18" s="80">
        <f t="shared" si="3"/>
        <v>0</v>
      </c>
      <c r="N18" s="15">
        <v>0</v>
      </c>
      <c r="O18" s="15">
        <v>0</v>
      </c>
      <c r="P18" s="65">
        <f t="shared" si="4"/>
        <v>0</v>
      </c>
      <c r="Q18" s="14">
        <v>0</v>
      </c>
      <c r="R18" s="14">
        <v>0</v>
      </c>
      <c r="S18" s="66">
        <f t="shared" si="5"/>
        <v>0</v>
      </c>
      <c r="T18" s="15">
        <v>0</v>
      </c>
      <c r="U18" s="15">
        <v>0</v>
      </c>
      <c r="V18" s="81">
        <f t="shared" si="6"/>
        <v>519.98827822926921</v>
      </c>
      <c r="W18" s="81">
        <f t="shared" si="7"/>
        <v>-97.283186438698792</v>
      </c>
      <c r="X18" s="81">
        <f t="shared" si="8"/>
        <v>156</v>
      </c>
      <c r="Y18" s="81">
        <f t="shared" si="9"/>
        <v>-33.58</v>
      </c>
      <c r="Z18" s="14">
        <v>3.2500000000000001E-2</v>
      </c>
      <c r="AA18" s="15">
        <v>-1.46E-2</v>
      </c>
      <c r="AB18" s="15">
        <v>-1.46E-2</v>
      </c>
      <c r="AC18" s="67">
        <v>0</v>
      </c>
      <c r="AD18" s="14">
        <v>0</v>
      </c>
      <c r="AE18" s="3"/>
      <c r="AF18" s="3"/>
      <c r="AH18" s="3"/>
      <c r="AI18" s="3"/>
      <c r="AJ18" s="3"/>
      <c r="AK18" s="3"/>
      <c r="AL18" s="3"/>
    </row>
    <row r="19" spans="2:38" x14ac:dyDescent="0.25">
      <c r="B19" s="46" t="s">
        <v>194</v>
      </c>
      <c r="C19" s="77"/>
      <c r="D19" s="85">
        <v>1</v>
      </c>
      <c r="E19" s="57">
        <v>45656</v>
      </c>
      <c r="F19" s="12">
        <f t="shared" si="0"/>
        <v>744.58974999999998</v>
      </c>
      <c r="G19" s="12">
        <f t="shared" si="1"/>
        <v>62.049145833333334</v>
      </c>
      <c r="H19" s="63"/>
      <c r="I19" s="13">
        <f>8.57*12</f>
        <v>102.84</v>
      </c>
      <c r="J19" s="80">
        <f t="shared" si="2"/>
        <v>0</v>
      </c>
      <c r="K19" s="14">
        <v>0</v>
      </c>
      <c r="L19" s="14">
        <v>0</v>
      </c>
      <c r="M19" s="80">
        <f t="shared" si="3"/>
        <v>0</v>
      </c>
      <c r="N19" s="15">
        <v>0</v>
      </c>
      <c r="O19" s="15">
        <v>0</v>
      </c>
      <c r="P19" s="65">
        <f t="shared" si="4"/>
        <v>0.13442199999999999</v>
      </c>
      <c r="Q19" s="14">
        <v>0.15221999999999999</v>
      </c>
      <c r="R19" s="14">
        <v>0.11985999999999999</v>
      </c>
      <c r="S19" s="66">
        <f t="shared" si="5"/>
        <v>-3.3419999999999998E-2</v>
      </c>
      <c r="T19" s="15">
        <v>-3.3419999999999998E-2</v>
      </c>
      <c r="U19" s="15">
        <v>-3.3419999999999998E-2</v>
      </c>
      <c r="V19" s="81">
        <v>0</v>
      </c>
      <c r="W19" s="81">
        <v>0</v>
      </c>
      <c r="X19" s="81">
        <f t="shared" si="8"/>
        <v>0</v>
      </c>
      <c r="Y19" s="81">
        <f t="shared" si="9"/>
        <v>0</v>
      </c>
      <c r="Z19" s="14">
        <v>0</v>
      </c>
      <c r="AA19" s="15">
        <v>0</v>
      </c>
      <c r="AB19" s="14">
        <v>0</v>
      </c>
      <c r="AC19" s="67">
        <f>_xlfn.XLOOKUP("Ja",Terugleverkosten!C:C,Terugleverkosten!U:U,0)</f>
        <v>169</v>
      </c>
      <c r="AD19" s="14">
        <v>0</v>
      </c>
      <c r="AE19" s="3"/>
      <c r="AF19" s="3"/>
      <c r="AH19" s="3"/>
      <c r="AI19" s="3"/>
      <c r="AJ19" s="3"/>
      <c r="AK19" s="3"/>
      <c r="AL19" s="3"/>
    </row>
    <row r="20" spans="2:38" x14ac:dyDescent="0.25">
      <c r="B20" s="56" t="s">
        <v>160</v>
      </c>
      <c r="C20" s="77">
        <v>30000</v>
      </c>
      <c r="D20" s="85">
        <v>1</v>
      </c>
      <c r="E20" s="57">
        <v>45656</v>
      </c>
      <c r="F20" s="12">
        <f t="shared" si="0"/>
        <v>759.96984179057051</v>
      </c>
      <c r="G20" s="12">
        <f t="shared" si="1"/>
        <v>63.330820149214212</v>
      </c>
      <c r="H20" s="63"/>
      <c r="I20" s="13">
        <f>7*12</f>
        <v>84</v>
      </c>
      <c r="J20" s="80">
        <f t="shared" si="2"/>
        <v>0</v>
      </c>
      <c r="K20" s="14">
        <v>0</v>
      </c>
      <c r="L20" s="14">
        <v>0</v>
      </c>
      <c r="M20" s="80">
        <f t="shared" si="3"/>
        <v>0</v>
      </c>
      <c r="N20" s="15">
        <v>0</v>
      </c>
      <c r="O20" s="15">
        <v>0</v>
      </c>
      <c r="P20" s="65">
        <f t="shared" si="4"/>
        <v>0</v>
      </c>
      <c r="Q20" s="14">
        <v>0</v>
      </c>
      <c r="R20" s="14">
        <v>0</v>
      </c>
      <c r="S20" s="66">
        <f t="shared" si="5"/>
        <v>0</v>
      </c>
      <c r="T20" s="15">
        <v>0</v>
      </c>
      <c r="U20" s="15">
        <v>0</v>
      </c>
      <c r="V20" s="81">
        <f>SUM(F$73:F$84)</f>
        <v>519.98827822926921</v>
      </c>
      <c r="W20" s="81">
        <f>SUM(G$73:G$84)</f>
        <v>-97.283186438698792</v>
      </c>
      <c r="X20" s="81">
        <f t="shared" si="8"/>
        <v>87.36</v>
      </c>
      <c r="Y20" s="81">
        <f t="shared" si="9"/>
        <v>29.209999999999997</v>
      </c>
      <c r="Z20" s="14">
        <v>1.8200000000000001E-2</v>
      </c>
      <c r="AA20" s="14">
        <v>1.2699999999999999E-2</v>
      </c>
      <c r="AB20" s="14">
        <v>1.2699999999999999E-2</v>
      </c>
      <c r="AC20" s="67">
        <v>0</v>
      </c>
      <c r="AD20" s="14">
        <v>0</v>
      </c>
      <c r="AE20" s="3"/>
      <c r="AF20" s="3"/>
      <c r="AH20" s="24"/>
      <c r="AI20" s="3"/>
      <c r="AJ20" s="3"/>
      <c r="AK20" s="3"/>
      <c r="AL20" s="3"/>
    </row>
    <row r="21" spans="2:38" x14ac:dyDescent="0.25">
      <c r="B21" s="56" t="s">
        <v>175</v>
      </c>
      <c r="C21" s="77">
        <v>130000</v>
      </c>
      <c r="D21" s="85">
        <v>1</v>
      </c>
      <c r="E21" s="57">
        <v>45656</v>
      </c>
      <c r="F21" s="12">
        <f t="shared" si="0"/>
        <v>764.51984179057058</v>
      </c>
      <c r="G21" s="12">
        <f t="shared" si="1"/>
        <v>63.709986815880882</v>
      </c>
      <c r="H21" s="63"/>
      <c r="I21" s="13">
        <f>7.01*12</f>
        <v>84.12</v>
      </c>
      <c r="J21" s="80">
        <f t="shared" si="2"/>
        <v>0</v>
      </c>
      <c r="K21" s="14">
        <v>0</v>
      </c>
      <c r="L21" s="14">
        <v>0</v>
      </c>
      <c r="M21" s="80">
        <f t="shared" si="3"/>
        <v>0</v>
      </c>
      <c r="N21" s="15">
        <v>0</v>
      </c>
      <c r="O21" s="15">
        <v>0</v>
      </c>
      <c r="P21" s="65">
        <f t="shared" si="4"/>
        <v>0</v>
      </c>
      <c r="Q21" s="14">
        <v>0</v>
      </c>
      <c r="R21" s="14">
        <v>0</v>
      </c>
      <c r="S21" s="66">
        <f t="shared" si="5"/>
        <v>0</v>
      </c>
      <c r="T21" s="15">
        <v>0</v>
      </c>
      <c r="U21" s="15">
        <v>0</v>
      </c>
      <c r="V21" s="81">
        <f>SUM(F$73:F$84)</f>
        <v>519.98827822926921</v>
      </c>
      <c r="W21" s="81">
        <f>SUM(G$73:G$84)</f>
        <v>-97.283186438698792</v>
      </c>
      <c r="X21" s="81">
        <f t="shared" si="8"/>
        <v>232.32</v>
      </c>
      <c r="Y21" s="81">
        <f t="shared" si="9"/>
        <v>-111.32</v>
      </c>
      <c r="Z21" s="14">
        <v>4.8399999999999999E-2</v>
      </c>
      <c r="AA21" s="15">
        <v>-4.8399999999999999E-2</v>
      </c>
      <c r="AB21" s="14">
        <v>0</v>
      </c>
      <c r="AC21" s="67">
        <v>0</v>
      </c>
      <c r="AD21" s="14">
        <v>0</v>
      </c>
      <c r="AE21" s="3"/>
      <c r="AF21" s="3"/>
      <c r="AH21" s="3"/>
      <c r="AI21" s="3"/>
      <c r="AJ21" s="3"/>
      <c r="AK21" s="3"/>
      <c r="AL21" s="3"/>
    </row>
    <row r="22" spans="2:38" x14ac:dyDescent="0.25">
      <c r="B22" s="56" t="s">
        <v>139</v>
      </c>
      <c r="C22" s="77">
        <v>200000</v>
      </c>
      <c r="D22" s="85">
        <v>1</v>
      </c>
      <c r="E22" s="57">
        <v>45656</v>
      </c>
      <c r="F22" s="12">
        <f t="shared" si="0"/>
        <v>775.79724999999996</v>
      </c>
      <c r="G22" s="12">
        <f t="shared" si="1"/>
        <v>64.649770833333335</v>
      </c>
      <c r="H22" s="63">
        <v>-75</v>
      </c>
      <c r="I22" s="13">
        <f>8.5*12</f>
        <v>102</v>
      </c>
      <c r="J22" s="80">
        <f t="shared" si="2"/>
        <v>0</v>
      </c>
      <c r="K22" s="14">
        <v>0</v>
      </c>
      <c r="L22" s="14">
        <v>0</v>
      </c>
      <c r="M22" s="80">
        <f t="shared" si="3"/>
        <v>0</v>
      </c>
      <c r="N22" s="15">
        <v>0</v>
      </c>
      <c r="O22" s="15">
        <v>0</v>
      </c>
      <c r="P22" s="65">
        <f t="shared" si="4"/>
        <v>0.13084099999999999</v>
      </c>
      <c r="Q22" s="14">
        <v>0.15007999999999999</v>
      </c>
      <c r="R22" s="14">
        <v>0.11509999999999999</v>
      </c>
      <c r="S22" s="66">
        <f t="shared" si="5"/>
        <v>0.10700000000000001</v>
      </c>
      <c r="T22" s="15">
        <v>0.14000000000000001</v>
      </c>
      <c r="U22" s="15">
        <v>0.03</v>
      </c>
      <c r="V22" s="81">
        <v>0</v>
      </c>
      <c r="W22" s="81">
        <v>0</v>
      </c>
      <c r="X22" s="81">
        <f t="shared" si="8"/>
        <v>0</v>
      </c>
      <c r="Y22" s="81">
        <f t="shared" si="9"/>
        <v>0</v>
      </c>
      <c r="Z22" s="14">
        <v>0</v>
      </c>
      <c r="AA22" s="15">
        <v>0</v>
      </c>
      <c r="AB22" s="14">
        <v>0</v>
      </c>
      <c r="AC22" s="67">
        <f>_xlfn.XLOOKUP("Ja",Terugleverkosten!C:C,Terugleverkosten!I:I,0)</f>
        <v>285</v>
      </c>
      <c r="AD22" s="14">
        <v>0</v>
      </c>
      <c r="AE22" s="3"/>
      <c r="AF22" s="3"/>
      <c r="AH22" s="3"/>
      <c r="AI22" s="3"/>
      <c r="AJ22" s="3"/>
      <c r="AK22" s="3"/>
      <c r="AL22" s="3"/>
    </row>
    <row r="23" spans="2:38" x14ac:dyDescent="0.25">
      <c r="B23" s="56" t="s">
        <v>161</v>
      </c>
      <c r="C23" s="77"/>
      <c r="D23" s="85">
        <v>0</v>
      </c>
      <c r="E23" s="57">
        <v>45656</v>
      </c>
      <c r="F23" s="12">
        <f t="shared" si="0"/>
        <v>776.41184179057041</v>
      </c>
      <c r="G23" s="12">
        <f t="shared" si="1"/>
        <v>64.700986815880867</v>
      </c>
      <c r="H23" s="63"/>
      <c r="I23" s="13">
        <f>6.251*12</f>
        <v>75.012</v>
      </c>
      <c r="J23" s="80">
        <f t="shared" si="2"/>
        <v>0</v>
      </c>
      <c r="K23" s="14">
        <v>0</v>
      </c>
      <c r="L23" s="14">
        <v>0</v>
      </c>
      <c r="M23" s="80">
        <f t="shared" si="3"/>
        <v>0</v>
      </c>
      <c r="N23" s="15">
        <v>0</v>
      </c>
      <c r="O23" s="15">
        <v>0</v>
      </c>
      <c r="P23" s="65">
        <f t="shared" si="4"/>
        <v>0</v>
      </c>
      <c r="Q23" s="14">
        <v>0</v>
      </c>
      <c r="R23" s="14">
        <v>0</v>
      </c>
      <c r="S23" s="66">
        <f t="shared" si="5"/>
        <v>0</v>
      </c>
      <c r="T23" s="15">
        <v>0</v>
      </c>
      <c r="U23" s="15">
        <v>0</v>
      </c>
      <c r="V23" s="81">
        <f>SUM(F$73:F$84)</f>
        <v>519.98827822926921</v>
      </c>
      <c r="W23" s="81">
        <f>SUM(G$73:G$84)</f>
        <v>-97.283186438698792</v>
      </c>
      <c r="X23" s="81">
        <f t="shared" si="8"/>
        <v>96</v>
      </c>
      <c r="Y23" s="81">
        <f t="shared" si="9"/>
        <v>46</v>
      </c>
      <c r="Z23" s="14">
        <v>0.02</v>
      </c>
      <c r="AA23" s="14">
        <v>0.02</v>
      </c>
      <c r="AB23" s="14">
        <v>0.02</v>
      </c>
      <c r="AC23" s="67">
        <v>0</v>
      </c>
      <c r="AD23" s="14">
        <v>0</v>
      </c>
      <c r="AE23" s="3"/>
      <c r="AF23" s="3"/>
      <c r="AH23" s="3"/>
      <c r="AI23" s="3"/>
      <c r="AJ23" s="3"/>
      <c r="AK23" s="3"/>
      <c r="AL23" s="3"/>
    </row>
    <row r="24" spans="2:38" x14ac:dyDescent="0.25">
      <c r="B24" s="56" t="s">
        <v>162</v>
      </c>
      <c r="C24" s="77"/>
      <c r="D24" s="85">
        <v>4.7000000000000002E-3</v>
      </c>
      <c r="E24" s="57">
        <v>45656</v>
      </c>
      <c r="F24" s="12">
        <f t="shared" si="0"/>
        <v>829.21984179057051</v>
      </c>
      <c r="G24" s="12">
        <f t="shared" si="1"/>
        <v>69.101653482547547</v>
      </c>
      <c r="H24" s="63"/>
      <c r="I24" s="13">
        <f>6.58*12</f>
        <v>78.960000000000008</v>
      </c>
      <c r="J24" s="80">
        <f t="shared" si="2"/>
        <v>0</v>
      </c>
      <c r="K24" s="14">
        <v>0</v>
      </c>
      <c r="L24" s="14">
        <v>0</v>
      </c>
      <c r="M24" s="80">
        <f t="shared" si="3"/>
        <v>0</v>
      </c>
      <c r="N24" s="15">
        <v>0</v>
      </c>
      <c r="O24" s="15">
        <v>0</v>
      </c>
      <c r="P24" s="65">
        <f t="shared" si="4"/>
        <v>0</v>
      </c>
      <c r="Q24" s="14">
        <v>0</v>
      </c>
      <c r="R24" s="14">
        <v>0</v>
      </c>
      <c r="S24" s="66">
        <f t="shared" si="5"/>
        <v>0</v>
      </c>
      <c r="T24" s="15">
        <v>0</v>
      </c>
      <c r="U24" s="15">
        <v>0</v>
      </c>
      <c r="V24" s="81">
        <f>SUM(F$73:F$84)</f>
        <v>519.98827822926921</v>
      </c>
      <c r="W24" s="81">
        <f>SUM(G$73:G$84)</f>
        <v>-97.283186438698792</v>
      </c>
      <c r="X24" s="81">
        <f t="shared" si="8"/>
        <v>120.48</v>
      </c>
      <c r="Y24" s="81">
        <f t="shared" si="9"/>
        <v>70.38</v>
      </c>
      <c r="Z24" s="14">
        <v>2.5100000000000001E-2</v>
      </c>
      <c r="AA24" s="14">
        <v>3.0599999999999999E-2</v>
      </c>
      <c r="AB24" s="14">
        <v>3.0599999999999999E-2</v>
      </c>
      <c r="AC24" s="67">
        <v>0</v>
      </c>
      <c r="AD24" s="14">
        <v>0</v>
      </c>
      <c r="AE24" s="3"/>
      <c r="AF24" s="3"/>
      <c r="AH24" s="3"/>
      <c r="AI24" s="3"/>
      <c r="AJ24" s="3"/>
      <c r="AK24" s="3"/>
      <c r="AL24" s="3"/>
    </row>
    <row r="25" spans="2:38" x14ac:dyDescent="0.25">
      <c r="B25" s="46" t="s">
        <v>140</v>
      </c>
      <c r="C25" s="77">
        <v>600000</v>
      </c>
      <c r="D25" s="85">
        <v>0</v>
      </c>
      <c r="E25" s="57">
        <v>45657</v>
      </c>
      <c r="F25" s="12">
        <f t="shared" si="0"/>
        <v>830.71225000000004</v>
      </c>
      <c r="G25" s="12">
        <f t="shared" si="1"/>
        <v>69.226020833333337</v>
      </c>
      <c r="H25" s="63">
        <v>-50</v>
      </c>
      <c r="I25" s="13">
        <f>9.98*12</f>
        <v>119.76</v>
      </c>
      <c r="J25" s="80">
        <f t="shared" si="2"/>
        <v>0</v>
      </c>
      <c r="K25" s="14">
        <v>0</v>
      </c>
      <c r="L25" s="14">
        <v>0</v>
      </c>
      <c r="M25" s="80">
        <f t="shared" si="3"/>
        <v>0</v>
      </c>
      <c r="N25" s="15">
        <v>0</v>
      </c>
      <c r="O25" s="15">
        <v>0</v>
      </c>
      <c r="P25" s="65">
        <f t="shared" si="4"/>
        <v>0.12619900000000001</v>
      </c>
      <c r="Q25" s="14">
        <v>0.12753</v>
      </c>
      <c r="R25" s="14">
        <v>0.12511</v>
      </c>
      <c r="S25" s="66">
        <f t="shared" si="5"/>
        <v>-0.05</v>
      </c>
      <c r="T25" s="15">
        <v>-0.05</v>
      </c>
      <c r="U25" s="15">
        <v>-0.05</v>
      </c>
      <c r="V25" s="81">
        <v>0</v>
      </c>
      <c r="W25" s="81">
        <v>0</v>
      </c>
      <c r="X25" s="81">
        <f t="shared" si="8"/>
        <v>0</v>
      </c>
      <c r="Y25" s="81">
        <f t="shared" si="9"/>
        <v>0</v>
      </c>
      <c r="Z25" s="14">
        <v>0</v>
      </c>
      <c r="AA25" s="15">
        <v>0</v>
      </c>
      <c r="AB25" s="14">
        <v>0</v>
      </c>
      <c r="AC25" s="67">
        <f>_xlfn.XLOOKUP("Ja",Terugleverkosten!C:C,Terugleverkosten!E:E,0)</f>
        <v>308.76</v>
      </c>
      <c r="AD25" s="14">
        <v>0</v>
      </c>
      <c r="AE25" s="3"/>
      <c r="AF25" s="3"/>
      <c r="AH25" s="3"/>
      <c r="AI25" s="3"/>
      <c r="AJ25" s="3"/>
      <c r="AK25" s="3"/>
      <c r="AL25" s="3"/>
    </row>
    <row r="26" spans="2:38" x14ac:dyDescent="0.25">
      <c r="B26" s="56" t="s">
        <v>141</v>
      </c>
      <c r="C26" s="77">
        <v>720000</v>
      </c>
      <c r="D26" s="85">
        <v>0.125</v>
      </c>
      <c r="E26" s="57">
        <v>45656</v>
      </c>
      <c r="F26" s="12">
        <f t="shared" si="0"/>
        <v>831.04099999999994</v>
      </c>
      <c r="G26" s="12">
        <f t="shared" si="1"/>
        <v>69.253416666666666</v>
      </c>
      <c r="H26" s="63"/>
      <c r="I26" s="13">
        <f>8.99*12</f>
        <v>107.88</v>
      </c>
      <c r="J26" s="80">
        <f t="shared" si="2"/>
        <v>0</v>
      </c>
      <c r="K26" s="14">
        <v>0</v>
      </c>
      <c r="L26" s="14">
        <v>0</v>
      </c>
      <c r="M26" s="80">
        <f t="shared" si="3"/>
        <v>0</v>
      </c>
      <c r="N26" s="15">
        <v>0</v>
      </c>
      <c r="O26" s="15">
        <v>0</v>
      </c>
      <c r="P26" s="65">
        <f t="shared" si="4"/>
        <v>0.13796249999999999</v>
      </c>
      <c r="Q26" s="14">
        <v>0.13796249999999999</v>
      </c>
      <c r="R26" s="14">
        <v>0.13796249999999999</v>
      </c>
      <c r="S26" s="66">
        <f t="shared" si="5"/>
        <v>-2.0000000000000004E-2</v>
      </c>
      <c r="T26" s="15">
        <v>-0.02</v>
      </c>
      <c r="U26" s="15">
        <v>-0.02</v>
      </c>
      <c r="V26" s="81">
        <v>0</v>
      </c>
      <c r="W26" s="81">
        <v>0</v>
      </c>
      <c r="X26" s="81">
        <f t="shared" si="8"/>
        <v>0</v>
      </c>
      <c r="Y26" s="81">
        <f t="shared" si="9"/>
        <v>0</v>
      </c>
      <c r="Z26" s="14">
        <v>0</v>
      </c>
      <c r="AA26" s="15">
        <v>0</v>
      </c>
      <c r="AB26" s="14">
        <v>0</v>
      </c>
      <c r="AC26" s="67">
        <f>_xlfn.XLOOKUP("Ja",Terugleverkosten!C:C,Terugleverkosten!D:D,0)</f>
        <v>241.56</v>
      </c>
      <c r="AD26" s="14">
        <v>0</v>
      </c>
      <c r="AE26" s="3"/>
      <c r="AF26" s="3"/>
      <c r="AH26" s="3"/>
      <c r="AI26" s="3"/>
      <c r="AJ26" s="3"/>
      <c r="AK26" s="3"/>
      <c r="AL26" s="3"/>
    </row>
    <row r="27" spans="2:38" x14ac:dyDescent="0.25">
      <c r="B27" s="56" t="s">
        <v>196</v>
      </c>
      <c r="C27" s="77"/>
      <c r="D27" s="85">
        <v>5.7000000000000002E-2</v>
      </c>
      <c r="E27" s="57">
        <v>45662</v>
      </c>
      <c r="F27" s="12">
        <f t="shared" si="0"/>
        <v>838.74599999999998</v>
      </c>
      <c r="G27" s="12">
        <f t="shared" si="1"/>
        <v>69.895499999999998</v>
      </c>
      <c r="H27" s="63"/>
      <c r="I27" s="13">
        <v>90.75</v>
      </c>
      <c r="J27" s="80">
        <f t="shared" si="2"/>
        <v>0</v>
      </c>
      <c r="K27" s="14">
        <v>0</v>
      </c>
      <c r="L27" s="14">
        <v>0</v>
      </c>
      <c r="M27" s="80">
        <f t="shared" si="3"/>
        <v>0</v>
      </c>
      <c r="N27" s="15">
        <v>0</v>
      </c>
      <c r="O27" s="15">
        <v>0</v>
      </c>
      <c r="P27" s="65">
        <f t="shared" si="4"/>
        <v>0.1525205</v>
      </c>
      <c r="Q27" s="14">
        <f>0.15851</f>
        <v>0.15851000000000001</v>
      </c>
      <c r="R27" s="14">
        <f>0.14762</f>
        <v>0.14762</v>
      </c>
      <c r="S27" s="66">
        <f t="shared" si="5"/>
        <v>0.10330000000000002</v>
      </c>
      <c r="T27" s="15">
        <f>0.1033</f>
        <v>0.1033</v>
      </c>
      <c r="U27" s="15">
        <f>0.1033</f>
        <v>0.1033</v>
      </c>
      <c r="V27" s="81">
        <v>0</v>
      </c>
      <c r="W27" s="81">
        <v>0</v>
      </c>
      <c r="X27" s="81">
        <f t="shared" si="8"/>
        <v>0</v>
      </c>
      <c r="Y27" s="81">
        <f t="shared" si="9"/>
        <v>0</v>
      </c>
      <c r="Z27" s="14">
        <v>0</v>
      </c>
      <c r="AA27" s="15">
        <v>0</v>
      </c>
      <c r="AB27" s="14">
        <v>0</v>
      </c>
      <c r="AC27" s="65">
        <v>0</v>
      </c>
      <c r="AD27" s="14">
        <v>0.1</v>
      </c>
      <c r="AE27" s="3"/>
      <c r="AF27" s="3"/>
      <c r="AH27" s="3"/>
      <c r="AI27" s="3"/>
      <c r="AJ27" s="3"/>
      <c r="AK27" s="3"/>
      <c r="AL27" s="3"/>
    </row>
    <row r="28" spans="2:38" x14ac:dyDescent="0.25">
      <c r="B28" s="46" t="s">
        <v>176</v>
      </c>
      <c r="C28" s="78"/>
      <c r="D28" s="85">
        <v>1</v>
      </c>
      <c r="E28" s="57">
        <v>45656</v>
      </c>
      <c r="F28" s="12">
        <f t="shared" si="0"/>
        <v>839.70474999999988</v>
      </c>
      <c r="G28" s="12">
        <f t="shared" si="1"/>
        <v>69.975395833333323</v>
      </c>
      <c r="H28" s="63"/>
      <c r="I28" s="13">
        <v>116.16</v>
      </c>
      <c r="J28" s="80">
        <f t="shared" si="2"/>
        <v>0.23474</v>
      </c>
      <c r="K28" s="14">
        <v>0.24804999999999999</v>
      </c>
      <c r="L28" s="14">
        <v>0.22384999999999999</v>
      </c>
      <c r="M28" s="80">
        <f t="shared" si="3"/>
        <v>-0.23474</v>
      </c>
      <c r="N28" s="15">
        <v>-0.24804999999999999</v>
      </c>
      <c r="O28" s="15">
        <v>-0.22384999999999999</v>
      </c>
      <c r="P28" s="65">
        <f t="shared" si="4"/>
        <v>0</v>
      </c>
      <c r="Q28" s="14">
        <v>0</v>
      </c>
      <c r="R28" s="14">
        <v>0</v>
      </c>
      <c r="S28" s="66">
        <f t="shared" si="5"/>
        <v>0</v>
      </c>
      <c r="T28" s="15">
        <v>0</v>
      </c>
      <c r="U28" s="15">
        <v>0</v>
      </c>
      <c r="V28" s="81">
        <v>0</v>
      </c>
      <c r="W28" s="81">
        <v>0</v>
      </c>
      <c r="X28" s="81">
        <f t="shared" si="8"/>
        <v>0</v>
      </c>
      <c r="Y28" s="81">
        <f t="shared" si="9"/>
        <v>0</v>
      </c>
      <c r="Z28" s="14">
        <v>0</v>
      </c>
      <c r="AA28" s="15">
        <v>0</v>
      </c>
      <c r="AB28" s="14">
        <v>0</v>
      </c>
      <c r="AC28" s="67">
        <v>0</v>
      </c>
      <c r="AD28" s="14">
        <v>0</v>
      </c>
      <c r="AE28" s="3"/>
      <c r="AF28" s="3"/>
      <c r="AH28" s="3"/>
      <c r="AI28" s="3"/>
      <c r="AJ28" s="3"/>
      <c r="AK28" s="3"/>
      <c r="AL28" s="3"/>
    </row>
    <row r="29" spans="2:38" x14ac:dyDescent="0.25">
      <c r="B29" s="56" t="s">
        <v>142</v>
      </c>
      <c r="C29" s="77">
        <v>14000</v>
      </c>
      <c r="D29" s="85">
        <v>1</v>
      </c>
      <c r="E29" s="57">
        <v>45656</v>
      </c>
      <c r="F29" s="12">
        <f t="shared" si="0"/>
        <v>849.46475000000009</v>
      </c>
      <c r="G29" s="12">
        <f t="shared" si="1"/>
        <v>70.78872916666667</v>
      </c>
      <c r="H29" s="63"/>
      <c r="I29" s="13">
        <f>7.05*12</f>
        <v>84.6</v>
      </c>
      <c r="J29" s="80">
        <f t="shared" si="2"/>
        <v>0</v>
      </c>
      <c r="K29" s="14">
        <v>0</v>
      </c>
      <c r="L29" s="14">
        <v>0</v>
      </c>
      <c r="M29" s="80">
        <f t="shared" si="3"/>
        <v>0</v>
      </c>
      <c r="N29" s="15">
        <v>0</v>
      </c>
      <c r="O29" s="15">
        <v>0</v>
      </c>
      <c r="P29" s="65">
        <f t="shared" si="4"/>
        <v>0.183508</v>
      </c>
      <c r="Q29" s="14">
        <v>0.21421999999999999</v>
      </c>
      <c r="R29" s="14">
        <v>0.15837999999999999</v>
      </c>
      <c r="S29" s="66">
        <f t="shared" si="5"/>
        <v>-0.12831000000000001</v>
      </c>
      <c r="T29" s="15">
        <f>-0.1392</f>
        <v>-0.13919999999999999</v>
      </c>
      <c r="U29" s="15">
        <f>-0.1029</f>
        <v>-0.10290000000000001</v>
      </c>
      <c r="V29" s="81">
        <v>0</v>
      </c>
      <c r="W29" s="81">
        <v>0</v>
      </c>
      <c r="X29" s="81">
        <f t="shared" si="8"/>
        <v>0</v>
      </c>
      <c r="Y29" s="81">
        <f t="shared" si="9"/>
        <v>0</v>
      </c>
      <c r="Z29" s="14">
        <v>0</v>
      </c>
      <c r="AA29" s="15">
        <v>0</v>
      </c>
      <c r="AB29" s="14">
        <v>0</v>
      </c>
      <c r="AC29" s="67">
        <f>_xlfn.XLOOKUP("Ja",Terugleverkosten!C:C,Terugleverkosten!T:T,0)</f>
        <v>169.4</v>
      </c>
      <c r="AD29" s="14">
        <v>0</v>
      </c>
      <c r="AE29" s="3"/>
      <c r="AF29" s="3"/>
      <c r="AH29" s="24"/>
      <c r="AI29" s="3"/>
      <c r="AJ29" s="3"/>
      <c r="AK29" s="3"/>
      <c r="AL29" s="3"/>
    </row>
    <row r="30" spans="2:38" x14ac:dyDescent="0.25">
      <c r="B30" s="56" t="s">
        <v>143</v>
      </c>
      <c r="C30" s="77">
        <v>600000</v>
      </c>
      <c r="D30" s="85">
        <v>0.94299999999999995</v>
      </c>
      <c r="E30" s="57">
        <v>45656</v>
      </c>
      <c r="F30" s="12">
        <f t="shared" si="0"/>
        <v>860.18975</v>
      </c>
      <c r="G30" s="12">
        <f t="shared" si="1"/>
        <v>71.682479166666667</v>
      </c>
      <c r="H30" s="63"/>
      <c r="I30" s="13">
        <f>9.32*12</f>
        <v>111.84</v>
      </c>
      <c r="J30" s="80">
        <f t="shared" si="2"/>
        <v>0</v>
      </c>
      <c r="K30" s="14">
        <v>0</v>
      </c>
      <c r="L30" s="14">
        <v>0</v>
      </c>
      <c r="M30" s="80">
        <f t="shared" si="3"/>
        <v>0</v>
      </c>
      <c r="N30" s="15">
        <v>0</v>
      </c>
      <c r="O30" s="15">
        <v>0</v>
      </c>
      <c r="P30" s="65">
        <f t="shared" si="4"/>
        <v>0.1377948</v>
      </c>
      <c r="Q30" s="14">
        <v>0.1311398</v>
      </c>
      <c r="R30" s="14">
        <v>0.1432398</v>
      </c>
      <c r="S30" s="66">
        <f t="shared" si="5"/>
        <v>-0.14499999999999999</v>
      </c>
      <c r="T30" s="15">
        <v>-0.14499999999999999</v>
      </c>
      <c r="U30" s="15">
        <v>-0.14499999999999999</v>
      </c>
      <c r="V30" s="81">
        <v>0</v>
      </c>
      <c r="W30" s="81">
        <v>0</v>
      </c>
      <c r="X30" s="81">
        <f t="shared" si="8"/>
        <v>0</v>
      </c>
      <c r="Y30" s="81">
        <f t="shared" si="9"/>
        <v>0</v>
      </c>
      <c r="Z30" s="14">
        <v>0</v>
      </c>
      <c r="AA30" s="15">
        <v>0</v>
      </c>
      <c r="AB30" s="14">
        <v>0</v>
      </c>
      <c r="AC30" s="67">
        <v>0</v>
      </c>
      <c r="AD30" s="14">
        <f>0.096*1.21</f>
        <v>0.11616</v>
      </c>
      <c r="AE30" s="3"/>
      <c r="AF30" s="3"/>
      <c r="AH30" s="3"/>
      <c r="AI30" s="3"/>
      <c r="AJ30" s="3"/>
      <c r="AK30" s="3"/>
      <c r="AL30" s="3"/>
    </row>
    <row r="31" spans="2:38" x14ac:dyDescent="0.25">
      <c r="B31" s="56" t="s">
        <v>144</v>
      </c>
      <c r="C31" s="77">
        <v>250000</v>
      </c>
      <c r="D31" s="85">
        <v>0</v>
      </c>
      <c r="E31" s="57">
        <v>45656</v>
      </c>
      <c r="F31" s="12">
        <f t="shared" si="0"/>
        <v>879.32725000000005</v>
      </c>
      <c r="G31" s="12">
        <f t="shared" si="1"/>
        <v>73.277270833333333</v>
      </c>
      <c r="H31" s="63"/>
      <c r="I31" s="13">
        <f>8.49*12</f>
        <v>101.88</v>
      </c>
      <c r="J31" s="80">
        <f t="shared" si="2"/>
        <v>0</v>
      </c>
      <c r="K31" s="14">
        <v>0</v>
      </c>
      <c r="L31" s="14">
        <v>0</v>
      </c>
      <c r="M31" s="80">
        <f t="shared" si="3"/>
        <v>0</v>
      </c>
      <c r="N31" s="15">
        <v>0</v>
      </c>
      <c r="O31" s="15">
        <v>0</v>
      </c>
      <c r="P31" s="65">
        <f t="shared" si="4"/>
        <v>0.12474100000000002</v>
      </c>
      <c r="Q31" s="14">
        <v>0.14670250000000001</v>
      </c>
      <c r="R31" s="14">
        <v>0.10677250000000001</v>
      </c>
      <c r="S31" s="66">
        <f t="shared" si="5"/>
        <v>-0.17299999999999999</v>
      </c>
      <c r="T31" s="15">
        <v>-0.17299999999999999</v>
      </c>
      <c r="U31" s="15">
        <v>-0.17299999999999999</v>
      </c>
      <c r="V31" s="81">
        <v>0</v>
      </c>
      <c r="W31" s="81">
        <v>0</v>
      </c>
      <c r="X31" s="81">
        <f t="shared" si="8"/>
        <v>0</v>
      </c>
      <c r="Y31" s="81">
        <f t="shared" si="9"/>
        <v>0</v>
      </c>
      <c r="Z31" s="14">
        <v>0</v>
      </c>
      <c r="AA31" s="15">
        <v>0</v>
      </c>
      <c r="AB31" s="14">
        <v>0</v>
      </c>
      <c r="AC31" s="67">
        <v>0</v>
      </c>
      <c r="AD31" s="14">
        <v>0.14299999999999999</v>
      </c>
      <c r="AE31" s="3"/>
      <c r="AF31" s="3"/>
      <c r="AH31" s="3"/>
      <c r="AI31" s="3"/>
      <c r="AJ31" s="3"/>
      <c r="AK31" s="3"/>
      <c r="AL31" s="3"/>
    </row>
    <row r="32" spans="2:38" x14ac:dyDescent="0.25">
      <c r="B32" s="46" t="s">
        <v>145</v>
      </c>
      <c r="C32" s="78">
        <v>80000</v>
      </c>
      <c r="D32" s="85">
        <v>1</v>
      </c>
      <c r="E32" s="57">
        <v>45656</v>
      </c>
      <c r="F32" s="12">
        <f t="shared" si="0"/>
        <v>886.16724999999997</v>
      </c>
      <c r="G32" s="12">
        <f t="shared" si="1"/>
        <v>73.847270833333326</v>
      </c>
      <c r="H32" s="63"/>
      <c r="I32" s="13">
        <f>8.99*12</f>
        <v>107.88</v>
      </c>
      <c r="J32" s="80">
        <f t="shared" si="2"/>
        <v>0</v>
      </c>
      <c r="K32" s="14">
        <v>0</v>
      </c>
      <c r="L32" s="14">
        <v>0</v>
      </c>
      <c r="M32" s="80">
        <f t="shared" si="3"/>
        <v>0</v>
      </c>
      <c r="N32" s="15">
        <v>0</v>
      </c>
      <c r="O32" s="15">
        <v>0</v>
      </c>
      <c r="P32" s="65">
        <f t="shared" si="4"/>
        <v>0.15084500000000001</v>
      </c>
      <c r="Q32" s="14">
        <v>0.15837999999999999</v>
      </c>
      <c r="R32" s="14">
        <v>0.14468</v>
      </c>
      <c r="S32" s="66">
        <f t="shared" si="5"/>
        <v>-0.14000000000000001</v>
      </c>
      <c r="T32" s="15">
        <v>-0.14000000000000001</v>
      </c>
      <c r="U32" s="15">
        <v>-0.14000000000000001</v>
      </c>
      <c r="V32" s="81">
        <v>0</v>
      </c>
      <c r="W32" s="81">
        <v>0</v>
      </c>
      <c r="X32" s="81">
        <f t="shared" si="8"/>
        <v>0</v>
      </c>
      <c r="Y32" s="81">
        <f t="shared" si="9"/>
        <v>0</v>
      </c>
      <c r="Z32" s="14">
        <v>0</v>
      </c>
      <c r="AA32" s="15">
        <v>0</v>
      </c>
      <c r="AB32" s="14">
        <v>0</v>
      </c>
      <c r="AC32" s="67">
        <f>_xlfn.XLOOKUP("Ja",Terugleverkosten!C:C,Terugleverkosten!P:P,0)</f>
        <v>264.48</v>
      </c>
      <c r="AD32" s="14">
        <v>0</v>
      </c>
      <c r="AE32" s="3"/>
      <c r="AF32" s="3"/>
      <c r="AH32" s="3"/>
      <c r="AI32" s="3"/>
      <c r="AJ32" s="3"/>
      <c r="AK32" s="3"/>
      <c r="AL32" s="3"/>
    </row>
    <row r="33" spans="2:38" x14ac:dyDescent="0.25">
      <c r="B33" s="56" t="s">
        <v>146</v>
      </c>
      <c r="C33" s="77">
        <v>1700000</v>
      </c>
      <c r="D33" s="85">
        <v>0.41499999999999998</v>
      </c>
      <c r="E33" s="57">
        <v>45656</v>
      </c>
      <c r="F33" s="12">
        <f t="shared" si="0"/>
        <v>890.28974999999991</v>
      </c>
      <c r="G33" s="12">
        <f t="shared" si="1"/>
        <v>74.190812499999993</v>
      </c>
      <c r="H33" s="63"/>
      <c r="I33" s="13">
        <f>8.99*12</f>
        <v>107.88</v>
      </c>
      <c r="J33" s="80">
        <f t="shared" si="2"/>
        <v>0</v>
      </c>
      <c r="K33" s="14">
        <v>0</v>
      </c>
      <c r="L33" s="14">
        <v>0</v>
      </c>
      <c r="M33" s="80">
        <f t="shared" si="3"/>
        <v>0</v>
      </c>
      <c r="N33" s="15">
        <v>0</v>
      </c>
      <c r="O33" s="15">
        <v>0</v>
      </c>
      <c r="P33" s="65">
        <f t="shared" si="4"/>
        <v>0.14108599999999999</v>
      </c>
      <c r="Q33" s="14">
        <v>0.14108599999999999</v>
      </c>
      <c r="R33" s="14">
        <v>0.14108599999999999</v>
      </c>
      <c r="S33" s="66">
        <f t="shared" si="5"/>
        <v>-0.14000000000000001</v>
      </c>
      <c r="T33" s="15">
        <v>-0.14000000000000001</v>
      </c>
      <c r="U33" s="15">
        <v>-0.14000000000000001</v>
      </c>
      <c r="V33" s="81">
        <v>0</v>
      </c>
      <c r="W33" s="81">
        <v>0</v>
      </c>
      <c r="X33" s="81">
        <f t="shared" si="8"/>
        <v>0</v>
      </c>
      <c r="Y33" s="81">
        <f t="shared" si="9"/>
        <v>0</v>
      </c>
      <c r="Z33" s="14">
        <v>0</v>
      </c>
      <c r="AA33" s="15">
        <v>0</v>
      </c>
      <c r="AB33" s="14">
        <v>0</v>
      </c>
      <c r="AC33" s="67">
        <f>_xlfn.XLOOKUP("Ja",Terugleverkosten!C:C,Terugleverkosten!G:G,0)</f>
        <v>293</v>
      </c>
      <c r="AD33" s="14">
        <v>0</v>
      </c>
      <c r="AE33" s="3"/>
      <c r="AF33" s="3"/>
      <c r="AH33" s="3"/>
      <c r="AI33" s="3"/>
      <c r="AJ33" s="3"/>
      <c r="AK33" s="3"/>
      <c r="AL33" s="3"/>
    </row>
    <row r="34" spans="2:38" x14ac:dyDescent="0.25">
      <c r="B34" s="56" t="s">
        <v>148</v>
      </c>
      <c r="C34" s="77">
        <v>120000</v>
      </c>
      <c r="D34" s="85">
        <v>1</v>
      </c>
      <c r="E34" s="57">
        <v>45656</v>
      </c>
      <c r="F34" s="12">
        <f t="shared" si="0"/>
        <v>892.98475000000008</v>
      </c>
      <c r="G34" s="12">
        <f t="shared" si="1"/>
        <v>74.415395833333335</v>
      </c>
      <c r="H34" s="63"/>
      <c r="I34" s="13">
        <v>95.59</v>
      </c>
      <c r="J34" s="80">
        <f t="shared" si="2"/>
        <v>0</v>
      </c>
      <c r="K34" s="14">
        <v>0</v>
      </c>
      <c r="L34" s="14">
        <v>0</v>
      </c>
      <c r="M34" s="80">
        <f t="shared" si="3"/>
        <v>0</v>
      </c>
      <c r="N34" s="15">
        <v>0</v>
      </c>
      <c r="O34" s="15">
        <v>0</v>
      </c>
      <c r="P34" s="65">
        <f t="shared" si="4"/>
        <v>0.15631600000000001</v>
      </c>
      <c r="Q34" s="14">
        <v>0.16538</v>
      </c>
      <c r="R34" s="14">
        <v>0.1489</v>
      </c>
      <c r="S34" s="66">
        <f t="shared" si="5"/>
        <v>-6.0499999999999998E-2</v>
      </c>
      <c r="T34" s="15">
        <v>-6.0499999999999998E-2</v>
      </c>
      <c r="U34" s="15">
        <v>-6.0499999999999998E-2</v>
      </c>
      <c r="V34" s="81">
        <v>0</v>
      </c>
      <c r="W34" s="81">
        <v>0</v>
      </c>
      <c r="X34" s="81">
        <f t="shared" si="8"/>
        <v>0</v>
      </c>
      <c r="Y34" s="81">
        <f t="shared" si="9"/>
        <v>0</v>
      </c>
      <c r="Z34" s="14">
        <v>0</v>
      </c>
      <c r="AA34" s="15">
        <v>0</v>
      </c>
      <c r="AB34" s="14">
        <v>0</v>
      </c>
      <c r="AC34" s="67">
        <f>_xlfn.XLOOKUP("Ja",Terugleverkosten!C:C,Terugleverkosten!H:H,0)</f>
        <v>269.91000000000003</v>
      </c>
      <c r="AD34" s="14">
        <v>0</v>
      </c>
      <c r="AE34" s="3"/>
      <c r="AF34" s="3"/>
      <c r="AH34" s="3"/>
      <c r="AI34" s="3"/>
      <c r="AJ34" s="3"/>
      <c r="AK34" s="3"/>
      <c r="AL34" s="3"/>
    </row>
    <row r="35" spans="2:38" x14ac:dyDescent="0.25">
      <c r="B35" s="46" t="s">
        <v>147</v>
      </c>
      <c r="C35" s="77"/>
      <c r="D35" s="85">
        <v>4.7000000000000002E-3</v>
      </c>
      <c r="E35" s="57">
        <v>45656</v>
      </c>
      <c r="F35" s="12">
        <f t="shared" si="0"/>
        <v>892.98475000000008</v>
      </c>
      <c r="G35" s="12">
        <f t="shared" si="1"/>
        <v>74.415395833333335</v>
      </c>
      <c r="H35" s="63"/>
      <c r="I35" s="13">
        <v>95.59</v>
      </c>
      <c r="J35" s="80">
        <f t="shared" si="2"/>
        <v>0</v>
      </c>
      <c r="K35" s="14">
        <v>0</v>
      </c>
      <c r="L35" s="14">
        <v>0</v>
      </c>
      <c r="M35" s="80">
        <f t="shared" si="3"/>
        <v>0</v>
      </c>
      <c r="N35" s="15">
        <v>0</v>
      </c>
      <c r="O35" s="15">
        <v>0</v>
      </c>
      <c r="P35" s="65">
        <f t="shared" si="4"/>
        <v>0.15631600000000001</v>
      </c>
      <c r="Q35" s="14">
        <v>0.16538</v>
      </c>
      <c r="R35" s="14">
        <v>0.1489</v>
      </c>
      <c r="S35" s="66">
        <f t="shared" si="5"/>
        <v>-6.0499999999999998E-2</v>
      </c>
      <c r="T35" s="15">
        <v>-6.0499999999999998E-2</v>
      </c>
      <c r="U35" s="15">
        <v>-6.0499999999999998E-2</v>
      </c>
      <c r="V35" s="81">
        <v>0</v>
      </c>
      <c r="W35" s="81">
        <v>0</v>
      </c>
      <c r="X35" s="81">
        <f t="shared" si="8"/>
        <v>0</v>
      </c>
      <c r="Y35" s="81">
        <f t="shared" si="9"/>
        <v>0</v>
      </c>
      <c r="Z35" s="14">
        <v>0</v>
      </c>
      <c r="AA35" s="15">
        <v>0</v>
      </c>
      <c r="AB35" s="14">
        <v>0</v>
      </c>
      <c r="AC35" s="67">
        <f>_xlfn.XLOOKUP("Ja",Terugleverkosten!C:C,Terugleverkosten!K:K,0)</f>
        <v>269.91000000000003</v>
      </c>
      <c r="AD35" s="14">
        <v>0</v>
      </c>
      <c r="AE35" s="24"/>
      <c r="AF35" s="3"/>
      <c r="AH35" s="3"/>
      <c r="AI35" s="3"/>
      <c r="AJ35" s="3"/>
      <c r="AK35" s="3"/>
      <c r="AL35" s="3"/>
    </row>
    <row r="36" spans="2:38" x14ac:dyDescent="0.25">
      <c r="B36" s="56" t="s">
        <v>149</v>
      </c>
      <c r="C36" s="77">
        <v>1270000</v>
      </c>
      <c r="D36" s="85">
        <v>0.66200000000000003</v>
      </c>
      <c r="E36" s="57">
        <v>45656</v>
      </c>
      <c r="F36" s="12">
        <f t="shared" si="0"/>
        <v>899.45225000000005</v>
      </c>
      <c r="G36" s="12">
        <f t="shared" si="1"/>
        <v>74.954354166666675</v>
      </c>
      <c r="H36" s="63"/>
      <c r="I36" s="13">
        <f>8.99*12</f>
        <v>107.88</v>
      </c>
      <c r="J36" s="80">
        <f t="shared" si="2"/>
        <v>0</v>
      </c>
      <c r="K36" s="14">
        <v>0</v>
      </c>
      <c r="L36" s="14">
        <v>0</v>
      </c>
      <c r="M36" s="80">
        <f t="shared" si="3"/>
        <v>0</v>
      </c>
      <c r="N36" s="15">
        <v>0</v>
      </c>
      <c r="O36" s="15">
        <v>0</v>
      </c>
      <c r="P36" s="65">
        <f t="shared" si="4"/>
        <v>0.13039100000000001</v>
      </c>
      <c r="Q36" s="14">
        <v>0.15312249999999999</v>
      </c>
      <c r="R36" s="14">
        <v>0.1117925</v>
      </c>
      <c r="S36" s="66">
        <f t="shared" si="5"/>
        <v>-0.17299999999999999</v>
      </c>
      <c r="T36" s="15">
        <v>-0.17299999999999999</v>
      </c>
      <c r="U36" s="15">
        <v>-0.17299999999999999</v>
      </c>
      <c r="V36" s="81">
        <v>0</v>
      </c>
      <c r="W36" s="81">
        <v>0</v>
      </c>
      <c r="X36" s="81">
        <f t="shared" si="8"/>
        <v>0</v>
      </c>
      <c r="Y36" s="81">
        <f t="shared" si="9"/>
        <v>0</v>
      </c>
      <c r="Z36" s="14">
        <v>0</v>
      </c>
      <c r="AA36" s="15">
        <v>0</v>
      </c>
      <c r="AB36" s="14">
        <v>0</v>
      </c>
      <c r="AC36" s="67">
        <v>0</v>
      </c>
      <c r="AD36" s="14">
        <v>0.14299999999999999</v>
      </c>
      <c r="AE36" s="3"/>
      <c r="AF36" s="3"/>
      <c r="AH36" s="3"/>
      <c r="AI36" s="3"/>
      <c r="AJ36" s="3"/>
      <c r="AK36" s="3"/>
      <c r="AL36" s="3"/>
    </row>
    <row r="37" spans="2:38" x14ac:dyDescent="0.25">
      <c r="B37" s="56" t="s">
        <v>150</v>
      </c>
      <c r="C37" s="77"/>
      <c r="D37" s="85">
        <v>1</v>
      </c>
      <c r="E37" s="57">
        <v>45657</v>
      </c>
      <c r="F37" s="12">
        <f t="shared" si="0"/>
        <v>900.07534999999996</v>
      </c>
      <c r="G37" s="12">
        <f t="shared" si="1"/>
        <v>75.006279166666658</v>
      </c>
      <c r="H37" s="63">
        <v>-112.5</v>
      </c>
      <c r="I37" s="13">
        <f>0.35344*365</f>
        <v>129.00559999999999</v>
      </c>
      <c r="J37" s="80">
        <f t="shared" si="2"/>
        <v>0</v>
      </c>
      <c r="K37" s="14">
        <v>0</v>
      </c>
      <c r="L37" s="14">
        <v>0</v>
      </c>
      <c r="M37" s="80">
        <f t="shared" si="3"/>
        <v>0</v>
      </c>
      <c r="N37" s="15">
        <v>0</v>
      </c>
      <c r="O37" s="15">
        <v>0</v>
      </c>
      <c r="P37" s="65">
        <f t="shared" si="4"/>
        <v>0.14980599999999999</v>
      </c>
      <c r="Q37" s="14">
        <v>0.17218</v>
      </c>
      <c r="R37" s="14">
        <v>0.13150000000000001</v>
      </c>
      <c r="S37" s="66">
        <f t="shared" si="5"/>
        <v>-0.09</v>
      </c>
      <c r="T37" s="15">
        <v>-0.09</v>
      </c>
      <c r="U37" s="15">
        <v>-0.09</v>
      </c>
      <c r="V37" s="81">
        <v>0</v>
      </c>
      <c r="W37" s="81">
        <v>0</v>
      </c>
      <c r="X37" s="81">
        <f t="shared" si="8"/>
        <v>0</v>
      </c>
      <c r="Y37" s="81">
        <f t="shared" si="9"/>
        <v>0</v>
      </c>
      <c r="Z37" s="14">
        <v>0</v>
      </c>
      <c r="AA37" s="15">
        <v>0</v>
      </c>
      <c r="AB37" s="14">
        <v>0</v>
      </c>
      <c r="AC37" s="67">
        <f>_xlfn.XLOOKUP("Ja",Terugleverkosten!C:C,Terugleverkosten!O:O,0)</f>
        <v>372.36</v>
      </c>
      <c r="AD37" s="14"/>
      <c r="AE37" s="3"/>
      <c r="AF37" s="3"/>
      <c r="AH37" s="3"/>
      <c r="AI37" s="3"/>
      <c r="AJ37" s="3"/>
      <c r="AK37" s="3"/>
      <c r="AL37" s="3"/>
    </row>
    <row r="38" spans="2:38" x14ac:dyDescent="0.25">
      <c r="B38" s="56" t="s">
        <v>151</v>
      </c>
      <c r="C38" s="77">
        <v>200000</v>
      </c>
      <c r="D38" s="85">
        <v>0.94899999999999995</v>
      </c>
      <c r="E38" s="57">
        <v>45656</v>
      </c>
      <c r="F38" s="12">
        <f t="shared" si="0"/>
        <v>908.70474999999999</v>
      </c>
      <c r="G38" s="12">
        <f t="shared" si="1"/>
        <v>75.725395833333337</v>
      </c>
      <c r="H38" s="63"/>
      <c r="I38" s="13">
        <f>8.52*12</f>
        <v>102.24</v>
      </c>
      <c r="J38" s="80">
        <f t="shared" si="2"/>
        <v>0</v>
      </c>
      <c r="K38" s="14">
        <v>0</v>
      </c>
      <c r="L38" s="14">
        <v>0</v>
      </c>
      <c r="M38" s="80">
        <f t="shared" si="3"/>
        <v>0</v>
      </c>
      <c r="N38" s="15">
        <v>0</v>
      </c>
      <c r="O38" s="15">
        <v>0</v>
      </c>
      <c r="P38" s="65">
        <f t="shared" si="4"/>
        <v>0.196988</v>
      </c>
      <c r="Q38" s="14">
        <v>0.20787250000000002</v>
      </c>
      <c r="R38" s="14">
        <v>0.18808249999999999</v>
      </c>
      <c r="S38" s="66">
        <f t="shared" si="5"/>
        <v>-0.09</v>
      </c>
      <c r="T38" s="15">
        <v>-0.09</v>
      </c>
      <c r="U38" s="15">
        <v>-0.09</v>
      </c>
      <c r="V38" s="81">
        <v>0</v>
      </c>
      <c r="W38" s="81">
        <v>0</v>
      </c>
      <c r="X38" s="81">
        <f t="shared" si="8"/>
        <v>0</v>
      </c>
      <c r="Y38" s="81">
        <f t="shared" si="9"/>
        <v>0</v>
      </c>
      <c r="Z38" s="14">
        <v>0</v>
      </c>
      <c r="AA38" s="15">
        <v>0</v>
      </c>
      <c r="AB38" s="14">
        <v>0</v>
      </c>
      <c r="AC38" s="67">
        <f>_xlfn.XLOOKUP("Ja",Terugleverkosten!C:C,Terugleverkosten!S:S,0)</f>
        <v>177.3</v>
      </c>
      <c r="AD38" s="14">
        <v>0</v>
      </c>
      <c r="AE38" s="3"/>
      <c r="AF38" s="3"/>
      <c r="AH38" s="3"/>
      <c r="AI38" s="3"/>
      <c r="AJ38" s="3"/>
      <c r="AK38" s="3"/>
      <c r="AL38" s="3"/>
    </row>
    <row r="39" spans="2:38" x14ac:dyDescent="0.25">
      <c r="B39" s="46" t="s">
        <v>152</v>
      </c>
      <c r="C39" s="77">
        <v>25000</v>
      </c>
      <c r="D39" s="85">
        <v>0</v>
      </c>
      <c r="E39" s="57">
        <v>45656</v>
      </c>
      <c r="F39" s="12">
        <f t="shared" si="0"/>
        <v>915.91100000000006</v>
      </c>
      <c r="G39" s="12">
        <f t="shared" si="1"/>
        <v>76.325916666666672</v>
      </c>
      <c r="H39" s="63">
        <v>-66</v>
      </c>
      <c r="I39" s="13">
        <f>11.59*12</f>
        <v>139.07999999999998</v>
      </c>
      <c r="J39" s="80">
        <f t="shared" si="2"/>
        <v>0</v>
      </c>
      <c r="K39" s="14">
        <v>0</v>
      </c>
      <c r="L39" s="14">
        <v>0</v>
      </c>
      <c r="M39" s="80">
        <f t="shared" si="3"/>
        <v>0</v>
      </c>
      <c r="N39" s="15">
        <v>0</v>
      </c>
      <c r="O39" s="15">
        <v>0</v>
      </c>
      <c r="P39" s="65">
        <f t="shared" si="4"/>
        <v>0.17045450000000001</v>
      </c>
      <c r="Q39" s="14">
        <v>0.17816000000000001</v>
      </c>
      <c r="R39" s="14">
        <v>0.16414999999999999</v>
      </c>
      <c r="S39" s="66">
        <f t="shared" si="5"/>
        <v>0.06</v>
      </c>
      <c r="T39" s="15">
        <v>0.06</v>
      </c>
      <c r="U39" s="15">
        <v>0.06</v>
      </c>
      <c r="V39" s="81">
        <v>0</v>
      </c>
      <c r="W39" s="81">
        <v>0</v>
      </c>
      <c r="X39" s="81">
        <f t="shared" si="8"/>
        <v>0</v>
      </c>
      <c r="Y39" s="81">
        <f t="shared" si="9"/>
        <v>0</v>
      </c>
      <c r="Z39" s="14">
        <v>0</v>
      </c>
      <c r="AA39" s="15">
        <v>0</v>
      </c>
      <c r="AB39" s="14">
        <v>0</v>
      </c>
      <c r="AC39" s="67">
        <f>_xlfn.XLOOKUP("Ja",Terugleverkosten!C:C,Terugleverkosten!R:R,0)</f>
        <v>280</v>
      </c>
      <c r="AD39" s="14">
        <v>0</v>
      </c>
      <c r="AE39" s="3"/>
      <c r="AF39" s="3"/>
      <c r="AH39" s="3"/>
      <c r="AI39" s="3"/>
      <c r="AJ39" s="3"/>
      <c r="AK39" s="3"/>
      <c r="AL39" s="3"/>
    </row>
    <row r="40" spans="2:38" x14ac:dyDescent="0.25">
      <c r="B40" s="56" t="s">
        <v>153</v>
      </c>
      <c r="C40" s="77">
        <v>1500000</v>
      </c>
      <c r="D40" s="85">
        <v>0.19600000000000001</v>
      </c>
      <c r="E40" s="57">
        <v>45657</v>
      </c>
      <c r="F40" s="12">
        <f t="shared" si="0"/>
        <v>922.56776999999988</v>
      </c>
      <c r="G40" s="12">
        <f t="shared" si="1"/>
        <v>76.880647499999995</v>
      </c>
      <c r="H40" s="63">
        <v>-25</v>
      </c>
      <c r="I40" s="13">
        <f>0.36022*366</f>
        <v>131.84052</v>
      </c>
      <c r="J40" s="80">
        <f t="shared" si="2"/>
        <v>0</v>
      </c>
      <c r="K40" s="14">
        <v>0</v>
      </c>
      <c r="L40" s="14">
        <v>0</v>
      </c>
      <c r="M40" s="80">
        <f t="shared" si="3"/>
        <v>0</v>
      </c>
      <c r="N40" s="15">
        <v>0</v>
      </c>
      <c r="O40" s="15">
        <v>0</v>
      </c>
      <c r="P40" s="65">
        <f t="shared" si="4"/>
        <v>0.14810899999999999</v>
      </c>
      <c r="Q40" s="14">
        <v>0.14943999999999999</v>
      </c>
      <c r="R40" s="14">
        <v>0.14702000000000001</v>
      </c>
      <c r="S40" s="66">
        <f t="shared" si="5"/>
        <v>-5.5000000000000007E-2</v>
      </c>
      <c r="T40" s="15">
        <v>-5.5E-2</v>
      </c>
      <c r="U40" s="15">
        <v>-5.5E-2</v>
      </c>
      <c r="V40" s="81">
        <v>0</v>
      </c>
      <c r="W40" s="81">
        <v>0</v>
      </c>
      <c r="X40" s="81">
        <f t="shared" si="8"/>
        <v>0</v>
      </c>
      <c r="Y40" s="81">
        <f t="shared" si="9"/>
        <v>0</v>
      </c>
      <c r="Z40" s="14">
        <v>0</v>
      </c>
      <c r="AA40" s="15">
        <v>0</v>
      </c>
      <c r="AB40" s="14">
        <v>0</v>
      </c>
      <c r="AC40" s="67">
        <f>_xlfn.XLOOKUP("Ja",Terugleverkosten!C:C,Terugleverkosten!F:F,0)</f>
        <v>308.76</v>
      </c>
      <c r="AD40" s="14">
        <v>0</v>
      </c>
      <c r="AE40" s="3"/>
      <c r="AF40" s="3"/>
      <c r="AH40" s="3"/>
      <c r="AI40" s="3"/>
      <c r="AJ40" s="3"/>
      <c r="AK40" s="3"/>
      <c r="AL40" s="3"/>
    </row>
    <row r="41" spans="2:38" x14ac:dyDescent="0.25">
      <c r="B41" s="46" t="s">
        <v>154</v>
      </c>
      <c r="C41" s="78">
        <v>50000</v>
      </c>
      <c r="D41" s="85">
        <v>1</v>
      </c>
      <c r="E41" s="57">
        <v>45656</v>
      </c>
      <c r="F41" s="12">
        <f t="shared" si="0"/>
        <v>929.69849999999997</v>
      </c>
      <c r="G41" s="12">
        <f t="shared" si="1"/>
        <v>77.474874999999997</v>
      </c>
      <c r="H41" s="63"/>
      <c r="I41" s="13">
        <f>9.99*12</f>
        <v>119.88</v>
      </c>
      <c r="J41" s="80">
        <f t="shared" si="2"/>
        <v>0</v>
      </c>
      <c r="K41" s="14">
        <v>0</v>
      </c>
      <c r="L41" s="14">
        <v>0</v>
      </c>
      <c r="M41" s="80">
        <f t="shared" si="3"/>
        <v>0</v>
      </c>
      <c r="N41" s="15">
        <v>0</v>
      </c>
      <c r="O41" s="15">
        <v>0</v>
      </c>
      <c r="P41" s="65">
        <f t="shared" si="4"/>
        <v>0.1732495</v>
      </c>
      <c r="Q41" s="14">
        <v>0.1732495</v>
      </c>
      <c r="R41" s="14">
        <v>0.1732495</v>
      </c>
      <c r="S41" s="66">
        <f t="shared" si="5"/>
        <v>-0.13</v>
      </c>
      <c r="T41" s="15">
        <v>-0.13</v>
      </c>
      <c r="U41" s="15">
        <v>-0.13</v>
      </c>
      <c r="V41" s="81">
        <v>0</v>
      </c>
      <c r="W41" s="81">
        <v>0</v>
      </c>
      <c r="X41" s="81">
        <f t="shared" si="8"/>
        <v>0</v>
      </c>
      <c r="Y41" s="81">
        <f t="shared" si="9"/>
        <v>0</v>
      </c>
      <c r="Z41" s="14">
        <v>0</v>
      </c>
      <c r="AA41" s="15">
        <v>0</v>
      </c>
      <c r="AB41" s="14">
        <v>0</v>
      </c>
      <c r="AC41" s="67">
        <f>_xlfn.XLOOKUP("Ja",Terugleverkosten!C:C,Terugleverkosten!Q:Q,0)</f>
        <v>240</v>
      </c>
      <c r="AD41" s="14">
        <v>0</v>
      </c>
      <c r="AE41" s="3"/>
      <c r="AF41" s="3"/>
      <c r="AH41" s="3"/>
      <c r="AI41" s="3"/>
      <c r="AJ41" s="3"/>
      <c r="AK41" s="3"/>
      <c r="AL41" s="3"/>
    </row>
    <row r="42" spans="2:38" x14ac:dyDescent="0.25">
      <c r="B42" s="46" t="s">
        <v>155</v>
      </c>
      <c r="C42" s="77">
        <v>300000</v>
      </c>
      <c r="D42" s="85">
        <v>0.34899999999999998</v>
      </c>
      <c r="E42" s="57">
        <v>45656</v>
      </c>
      <c r="F42" s="12">
        <f t="shared" si="0"/>
        <v>939.81475</v>
      </c>
      <c r="G42" s="12">
        <f t="shared" si="1"/>
        <v>78.317895833333338</v>
      </c>
      <c r="H42" s="63"/>
      <c r="I42" s="13">
        <f>12.08*12</f>
        <v>144.96</v>
      </c>
      <c r="J42" s="80">
        <f t="shared" si="2"/>
        <v>0</v>
      </c>
      <c r="K42" s="14">
        <v>0</v>
      </c>
      <c r="L42" s="14">
        <v>0</v>
      </c>
      <c r="M42" s="80">
        <f t="shared" si="3"/>
        <v>0</v>
      </c>
      <c r="N42" s="15">
        <v>0</v>
      </c>
      <c r="O42" s="15">
        <v>0</v>
      </c>
      <c r="P42" s="65">
        <f t="shared" si="4"/>
        <v>0.15746399999999999</v>
      </c>
      <c r="Q42" s="14">
        <v>0.17829250000000002</v>
      </c>
      <c r="R42" s="14">
        <v>0.14042250000000001</v>
      </c>
      <c r="S42" s="66">
        <f t="shared" si="5"/>
        <v>-0.125</v>
      </c>
      <c r="T42" s="15">
        <v>-0.125</v>
      </c>
      <c r="U42" s="15">
        <v>-0.125</v>
      </c>
      <c r="V42" s="81">
        <v>0</v>
      </c>
      <c r="W42" s="81">
        <v>0</v>
      </c>
      <c r="X42" s="81">
        <f t="shared" si="8"/>
        <v>0</v>
      </c>
      <c r="Y42" s="81">
        <f t="shared" si="9"/>
        <v>0</v>
      </c>
      <c r="Z42" s="14">
        <v>0</v>
      </c>
      <c r="AA42" s="15">
        <v>0</v>
      </c>
      <c r="AB42" s="14">
        <v>0</v>
      </c>
      <c r="AC42" s="67">
        <v>0</v>
      </c>
      <c r="AD42" s="14">
        <f>0.115</f>
        <v>0.115</v>
      </c>
      <c r="AE42" s="3"/>
      <c r="AF42" s="3"/>
      <c r="AH42" s="3"/>
      <c r="AI42" s="3"/>
      <c r="AJ42" s="3"/>
      <c r="AK42" s="3"/>
      <c r="AL42" s="3"/>
    </row>
    <row r="43" spans="2:38" x14ac:dyDescent="0.25">
      <c r="B43" s="46" t="s">
        <v>188</v>
      </c>
      <c r="C43" s="77"/>
      <c r="D43" s="85">
        <v>0.41499999999999998</v>
      </c>
      <c r="E43" s="57">
        <v>45661</v>
      </c>
      <c r="F43" s="12">
        <f t="shared" si="0"/>
        <v>969.28874999999994</v>
      </c>
      <c r="G43" s="12">
        <f t="shared" si="1"/>
        <v>80.774062499999999</v>
      </c>
      <c r="H43" s="63"/>
      <c r="I43" s="13">
        <f>40*12</f>
        <v>480</v>
      </c>
      <c r="J43" s="80">
        <f t="shared" si="2"/>
        <v>0</v>
      </c>
      <c r="K43" s="14">
        <v>0</v>
      </c>
      <c r="L43" s="14">
        <v>0</v>
      </c>
      <c r="M43" s="80">
        <f t="shared" si="3"/>
        <v>0</v>
      </c>
      <c r="N43" s="15">
        <v>0</v>
      </c>
      <c r="O43" s="15">
        <v>0</v>
      </c>
      <c r="P43" s="65">
        <f t="shared" si="4"/>
        <v>0.14103759999999999</v>
      </c>
      <c r="Q43" s="14">
        <v>0.148225</v>
      </c>
      <c r="R43" s="14">
        <v>0.135157</v>
      </c>
      <c r="S43" s="66">
        <f t="shared" si="5"/>
        <v>-0.03</v>
      </c>
      <c r="T43" s="15">
        <v>-0.03</v>
      </c>
      <c r="U43" s="15">
        <v>-0.03</v>
      </c>
      <c r="V43" s="81">
        <v>0</v>
      </c>
      <c r="W43" s="81">
        <v>0</v>
      </c>
      <c r="X43" s="81">
        <f t="shared" si="8"/>
        <v>0</v>
      </c>
      <c r="Y43" s="81">
        <f t="shared" si="9"/>
        <v>0</v>
      </c>
      <c r="Z43" s="14">
        <v>0</v>
      </c>
      <c r="AA43" s="15">
        <v>0</v>
      </c>
      <c r="AB43" s="14">
        <v>0</v>
      </c>
      <c r="AC43" s="67">
        <v>0</v>
      </c>
      <c r="AD43" s="14">
        <v>0</v>
      </c>
      <c r="AE43" s="3"/>
      <c r="AF43" s="3"/>
      <c r="AH43" s="3"/>
      <c r="AI43" s="3"/>
      <c r="AJ43" s="3"/>
      <c r="AK43" s="3"/>
      <c r="AL43" s="3"/>
    </row>
    <row r="44" spans="2:38" x14ac:dyDescent="0.25">
      <c r="B44" s="46" t="s">
        <v>156</v>
      </c>
      <c r="C44" s="77">
        <v>30000</v>
      </c>
      <c r="D44" s="85">
        <v>1</v>
      </c>
      <c r="E44" s="57">
        <v>45657</v>
      </c>
      <c r="F44" s="12">
        <f t="shared" si="0"/>
        <v>986.50725000000011</v>
      </c>
      <c r="G44" s="12">
        <f t="shared" si="1"/>
        <v>82.208937500000005</v>
      </c>
      <c r="H44" s="63"/>
      <c r="I44" s="13">
        <f>6.5*12</f>
        <v>78</v>
      </c>
      <c r="J44" s="80">
        <f t="shared" si="2"/>
        <v>0</v>
      </c>
      <c r="K44" s="14">
        <v>0</v>
      </c>
      <c r="L44" s="14">
        <v>0</v>
      </c>
      <c r="M44" s="80">
        <f t="shared" si="3"/>
        <v>0</v>
      </c>
      <c r="N44" s="15">
        <v>0</v>
      </c>
      <c r="O44" s="15">
        <v>0</v>
      </c>
      <c r="P44" s="65">
        <f t="shared" si="4"/>
        <v>0.20792500000000003</v>
      </c>
      <c r="Q44" s="14">
        <v>0.22800000000000001</v>
      </c>
      <c r="R44" s="14">
        <v>0.1915</v>
      </c>
      <c r="S44" s="66">
        <f t="shared" si="5"/>
        <v>-0.05</v>
      </c>
      <c r="T44" s="15">
        <v>-0.05</v>
      </c>
      <c r="U44" s="15">
        <v>-0.05</v>
      </c>
      <c r="V44" s="81">
        <v>0</v>
      </c>
      <c r="W44" s="81">
        <v>0</v>
      </c>
      <c r="X44" s="81">
        <f t="shared" si="8"/>
        <v>0</v>
      </c>
      <c r="Y44" s="81">
        <f t="shared" si="9"/>
        <v>0</v>
      </c>
      <c r="Z44" s="14">
        <v>0</v>
      </c>
      <c r="AA44" s="15">
        <v>0</v>
      </c>
      <c r="AB44" s="14">
        <v>0</v>
      </c>
      <c r="AC44" s="67">
        <f>_xlfn.XLOOKUP("Ja",Terugleverkosten!C:C,Terugleverkosten!J:J,0)</f>
        <v>252</v>
      </c>
      <c r="AD44" s="14">
        <v>0</v>
      </c>
      <c r="AE44" s="3"/>
      <c r="AF44" s="3"/>
      <c r="AH44" s="3"/>
      <c r="AI44" s="3"/>
      <c r="AJ44" s="3"/>
      <c r="AK44" s="3"/>
      <c r="AL44" s="3"/>
    </row>
    <row r="45" spans="2:38" x14ac:dyDescent="0.25">
      <c r="B45" s="56" t="s">
        <v>138</v>
      </c>
      <c r="C45" s="77"/>
      <c r="D45" s="85">
        <v>0.19600000000000001</v>
      </c>
      <c r="E45" s="57">
        <v>45661</v>
      </c>
      <c r="F45" s="12">
        <f t="shared" si="0"/>
        <v>992.56099999999992</v>
      </c>
      <c r="G45" s="12">
        <f t="shared" si="1"/>
        <v>82.71341666666666</v>
      </c>
      <c r="H45" s="63"/>
      <c r="I45" s="13">
        <f>35.99*12</f>
        <v>431.88</v>
      </c>
      <c r="J45" s="80">
        <f t="shared" si="2"/>
        <v>0</v>
      </c>
      <c r="K45" s="14">
        <v>0</v>
      </c>
      <c r="L45" s="14">
        <v>0</v>
      </c>
      <c r="M45" s="80">
        <f t="shared" si="3"/>
        <v>0</v>
      </c>
      <c r="N45" s="15">
        <v>0</v>
      </c>
      <c r="O45" s="15">
        <v>0</v>
      </c>
      <c r="P45" s="65">
        <f t="shared" si="4"/>
        <v>0.16959449999999998</v>
      </c>
      <c r="Q45" s="14">
        <v>0.19434999999999999</v>
      </c>
      <c r="R45" s="14">
        <v>0.14934</v>
      </c>
      <c r="S45" s="66">
        <f t="shared" si="5"/>
        <v>-5.5000000000000007E-2</v>
      </c>
      <c r="T45" s="15">
        <v>-5.5E-2</v>
      </c>
      <c r="U45" s="15">
        <v>-5.5E-2</v>
      </c>
      <c r="V45" s="81">
        <v>0</v>
      </c>
      <c r="W45" s="81">
        <v>0</v>
      </c>
      <c r="X45" s="81">
        <f t="shared" si="8"/>
        <v>0</v>
      </c>
      <c r="Y45" s="81">
        <f t="shared" si="9"/>
        <v>0</v>
      </c>
      <c r="Z45" s="14">
        <v>0</v>
      </c>
      <c r="AA45" s="15">
        <v>0</v>
      </c>
      <c r="AB45" s="14">
        <v>0</v>
      </c>
      <c r="AC45" s="65">
        <v>0</v>
      </c>
      <c r="AD45" s="14">
        <v>0</v>
      </c>
      <c r="AE45" s="3"/>
      <c r="AF45" s="3"/>
      <c r="AH45" s="3"/>
      <c r="AI45" s="3"/>
      <c r="AJ45" s="3"/>
      <c r="AK45" s="3"/>
      <c r="AL45" s="3"/>
    </row>
    <row r="46" spans="2:38" x14ac:dyDescent="0.25">
      <c r="B46" s="56" t="s">
        <v>191</v>
      </c>
      <c r="C46" s="77"/>
      <c r="D46" s="85">
        <v>0.94899999999999995</v>
      </c>
      <c r="E46" s="57">
        <v>45662</v>
      </c>
      <c r="F46" s="12">
        <f t="shared" si="0"/>
        <v>1010.07975</v>
      </c>
      <c r="G46" s="12">
        <f t="shared" si="1"/>
        <v>84.173312499999994</v>
      </c>
      <c r="H46" s="63"/>
      <c r="I46" s="13">
        <v>429.5</v>
      </c>
      <c r="J46" s="80">
        <f t="shared" si="2"/>
        <v>0</v>
      </c>
      <c r="K46" s="14">
        <v>0</v>
      </c>
      <c r="L46" s="14">
        <v>0</v>
      </c>
      <c r="M46" s="80">
        <f t="shared" si="3"/>
        <v>0</v>
      </c>
      <c r="N46" s="15">
        <v>0</v>
      </c>
      <c r="O46" s="15">
        <v>0</v>
      </c>
      <c r="P46" s="65">
        <f t="shared" si="4"/>
        <v>0.17755399999999999</v>
      </c>
      <c r="Q46" s="14">
        <v>0.18795999999999999</v>
      </c>
      <c r="R46" s="14">
        <v>0.16904</v>
      </c>
      <c r="S46" s="66">
        <f t="shared" si="5"/>
        <v>-4.0000000000000008E-2</v>
      </c>
      <c r="T46" s="15">
        <v>-0.04</v>
      </c>
      <c r="U46" s="15">
        <v>-0.04</v>
      </c>
      <c r="V46" s="81">
        <v>0</v>
      </c>
      <c r="W46" s="81">
        <v>0</v>
      </c>
      <c r="X46" s="81">
        <f t="shared" si="8"/>
        <v>0</v>
      </c>
      <c r="Y46" s="81">
        <f t="shared" si="9"/>
        <v>0</v>
      </c>
      <c r="Z46" s="14">
        <v>0</v>
      </c>
      <c r="AA46" s="15">
        <v>0</v>
      </c>
      <c r="AB46" s="14">
        <v>0</v>
      </c>
      <c r="AC46" s="65">
        <v>0</v>
      </c>
      <c r="AD46" s="14">
        <v>0</v>
      </c>
      <c r="AE46" s="3"/>
      <c r="AF46" s="3"/>
      <c r="AH46" s="3"/>
      <c r="AI46" s="3"/>
      <c r="AJ46" s="3"/>
      <c r="AK46" s="3"/>
      <c r="AL46" s="3"/>
    </row>
    <row r="47" spans="2:38" x14ac:dyDescent="0.25">
      <c r="B47" s="56" t="s">
        <v>190</v>
      </c>
      <c r="C47" s="77"/>
      <c r="D47" s="85">
        <v>1</v>
      </c>
      <c r="E47" s="57">
        <v>45662</v>
      </c>
      <c r="F47" s="12">
        <f t="shared" si="0"/>
        <v>1043.1016</v>
      </c>
      <c r="G47" s="12">
        <f t="shared" si="1"/>
        <v>86.925133333333335</v>
      </c>
      <c r="H47" s="63"/>
      <c r="I47" s="13">
        <f>0.29569*365</f>
        <v>107.92685</v>
      </c>
      <c r="J47" s="80">
        <f t="shared" si="2"/>
        <v>0</v>
      </c>
      <c r="K47" s="14">
        <v>0</v>
      </c>
      <c r="L47" s="14">
        <v>0</v>
      </c>
      <c r="M47" s="80">
        <f t="shared" si="3"/>
        <v>0</v>
      </c>
      <c r="N47" s="15">
        <v>0</v>
      </c>
      <c r="O47" s="15">
        <v>0</v>
      </c>
      <c r="P47" s="65">
        <f t="shared" si="4"/>
        <v>0.31939200000000001</v>
      </c>
      <c r="Q47" s="14">
        <v>0.33961000000000002</v>
      </c>
      <c r="R47" s="14">
        <v>0.30285000000000001</v>
      </c>
      <c r="S47" s="66">
        <f t="shared" si="5"/>
        <v>-2.0000000000000004E-2</v>
      </c>
      <c r="T47" s="15">
        <v>-0.02</v>
      </c>
      <c r="U47" s="15">
        <v>-0.02</v>
      </c>
      <c r="V47" s="81">
        <v>0</v>
      </c>
      <c r="W47" s="81">
        <v>0</v>
      </c>
      <c r="X47" s="81">
        <f t="shared" si="8"/>
        <v>0</v>
      </c>
      <c r="Y47" s="81">
        <f t="shared" si="9"/>
        <v>0</v>
      </c>
      <c r="Z47" s="14">
        <v>0</v>
      </c>
      <c r="AA47" s="15">
        <v>0</v>
      </c>
      <c r="AB47" s="14">
        <v>0</v>
      </c>
      <c r="AC47" s="65">
        <v>0</v>
      </c>
      <c r="AD47" s="14">
        <v>0</v>
      </c>
      <c r="AE47" s="3"/>
      <c r="AF47" s="3"/>
      <c r="AH47" s="3"/>
      <c r="AI47" s="3"/>
      <c r="AJ47" s="3"/>
      <c r="AK47" s="3"/>
      <c r="AL47" s="3"/>
    </row>
    <row r="48" spans="2:38" x14ac:dyDescent="0.25">
      <c r="B48" s="50" t="s">
        <v>189</v>
      </c>
      <c r="C48" s="79"/>
      <c r="D48" s="87">
        <v>0.66200000000000003</v>
      </c>
      <c r="E48" s="58">
        <v>45661</v>
      </c>
      <c r="F48" s="12">
        <f t="shared" si="0"/>
        <v>1043.3872500000002</v>
      </c>
      <c r="G48" s="12">
        <f t="shared" si="1"/>
        <v>86.948937500000014</v>
      </c>
      <c r="H48" s="63"/>
      <c r="I48" s="13">
        <f>37.99*12</f>
        <v>455.88</v>
      </c>
      <c r="J48" s="80">
        <f t="shared" si="2"/>
        <v>0</v>
      </c>
      <c r="K48" s="14">
        <v>0</v>
      </c>
      <c r="L48" s="14">
        <v>0</v>
      </c>
      <c r="M48" s="80">
        <f t="shared" si="3"/>
        <v>0</v>
      </c>
      <c r="N48" s="15">
        <v>0</v>
      </c>
      <c r="O48" s="15">
        <v>0</v>
      </c>
      <c r="P48" s="65">
        <f t="shared" si="4"/>
        <v>0.18032500000000004</v>
      </c>
      <c r="Q48" s="14">
        <v>0.20334250000000004</v>
      </c>
      <c r="R48" s="14">
        <v>0.16149250000000004</v>
      </c>
      <c r="S48" s="66">
        <f t="shared" si="5"/>
        <v>-0.03</v>
      </c>
      <c r="T48" s="15">
        <v>-0.03</v>
      </c>
      <c r="U48" s="15">
        <v>-0.03</v>
      </c>
      <c r="V48" s="81">
        <v>0</v>
      </c>
      <c r="W48" s="81">
        <v>0</v>
      </c>
      <c r="X48" s="81">
        <f t="shared" si="8"/>
        <v>0</v>
      </c>
      <c r="Y48" s="81">
        <f t="shared" si="9"/>
        <v>0</v>
      </c>
      <c r="Z48" s="14">
        <v>0</v>
      </c>
      <c r="AA48" s="15">
        <v>0</v>
      </c>
      <c r="AB48" s="14">
        <v>0</v>
      </c>
      <c r="AC48" s="67">
        <v>0</v>
      </c>
      <c r="AD48" s="14">
        <v>0</v>
      </c>
      <c r="AE48" s="3"/>
      <c r="AF48" s="3"/>
      <c r="AH48" s="3"/>
      <c r="AI48" s="3"/>
      <c r="AJ48" s="3"/>
      <c r="AK48" s="3"/>
      <c r="AL48" s="3"/>
    </row>
    <row r="49" spans="2:38" x14ac:dyDescent="0.25"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23"/>
      <c r="Q49" s="23"/>
      <c r="R49" s="23"/>
      <c r="S49" s="23"/>
      <c r="T49" s="23"/>
      <c r="U49" s="23"/>
      <c r="V49" s="23"/>
      <c r="W49" s="22"/>
      <c r="X49" s="22"/>
      <c r="Y49" s="22"/>
      <c r="AH49" s="3"/>
      <c r="AI49" s="3"/>
      <c r="AJ49" s="3"/>
      <c r="AK49" s="3"/>
      <c r="AL49" s="3"/>
    </row>
    <row r="50" spans="2:38" x14ac:dyDescent="0.25"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23"/>
      <c r="Q50" s="23"/>
      <c r="R50" s="23"/>
      <c r="S50" s="23"/>
      <c r="T50" s="23"/>
      <c r="U50" s="23"/>
      <c r="V50" s="23"/>
      <c r="W50" s="22"/>
      <c r="X50" s="22"/>
      <c r="Y50" s="22"/>
      <c r="AH50" s="3"/>
      <c r="AI50" s="3"/>
      <c r="AJ50" s="3"/>
      <c r="AK50" s="3"/>
      <c r="AL50" s="3"/>
    </row>
    <row r="51" spans="2:38" x14ac:dyDescent="0.25">
      <c r="B51" s="42" t="s">
        <v>47</v>
      </c>
      <c r="C51" s="74"/>
      <c r="D51" s="74"/>
      <c r="E51" s="90" t="s">
        <v>58</v>
      </c>
      <c r="F51" s="90"/>
      <c r="G51" s="90"/>
      <c r="H51" s="43" t="s">
        <v>45</v>
      </c>
      <c r="I51" s="44" t="s">
        <v>30</v>
      </c>
      <c r="J51" s="45" t="s">
        <v>31</v>
      </c>
      <c r="K51" s="23"/>
      <c r="V51" s="20"/>
      <c r="W51" s="21"/>
      <c r="X51" s="21"/>
      <c r="Y51" s="21"/>
      <c r="Z51" s="22"/>
      <c r="AH51" s="3"/>
      <c r="AI51" s="3"/>
    </row>
    <row r="52" spans="2:38" x14ac:dyDescent="0.25">
      <c r="B52" s="46" t="s">
        <v>33</v>
      </c>
      <c r="C52" s="9"/>
      <c r="D52" s="9"/>
      <c r="E52" s="99">
        <v>4800</v>
      </c>
      <c r="F52" s="99"/>
      <c r="G52" s="99"/>
      <c r="H52" s="47">
        <v>0.45</v>
      </c>
      <c r="I52" s="48">
        <f>E52*H52</f>
        <v>2160</v>
      </c>
      <c r="J52" s="49">
        <f>E52*(1-H52)</f>
        <v>2640</v>
      </c>
      <c r="K52" s="35"/>
      <c r="W52" s="3"/>
      <c r="X52" s="3"/>
      <c r="Y52" s="3"/>
      <c r="Z52" s="3"/>
      <c r="AA52" s="3"/>
      <c r="AB52" s="3"/>
      <c r="AC52" s="3"/>
      <c r="AD52" s="3"/>
      <c r="AF52" s="3"/>
      <c r="AH52" s="3"/>
      <c r="AL52" s="3"/>
    </row>
    <row r="53" spans="2:38" x14ac:dyDescent="0.25">
      <c r="B53" s="46" t="s">
        <v>34</v>
      </c>
      <c r="C53" s="9"/>
      <c r="D53" s="9"/>
      <c r="E53" s="99">
        <v>2300</v>
      </c>
      <c r="F53" s="99"/>
      <c r="G53" s="99"/>
      <c r="H53" s="47">
        <v>0.7</v>
      </c>
      <c r="I53" s="48">
        <f>E53*H53</f>
        <v>1610</v>
      </c>
      <c r="J53" s="49">
        <f>E53*(1-H53)</f>
        <v>690.00000000000011</v>
      </c>
      <c r="K53" s="35"/>
      <c r="W53" s="3"/>
      <c r="X53" s="3"/>
      <c r="Y53" s="3"/>
      <c r="Z53" s="64"/>
      <c r="AA53" s="3"/>
      <c r="AB53" s="3"/>
      <c r="AC53" s="24"/>
      <c r="AD53" s="3"/>
      <c r="AF53" s="3"/>
      <c r="AH53" s="3"/>
      <c r="AL53" s="3"/>
    </row>
    <row r="54" spans="2:38" x14ac:dyDescent="0.25">
      <c r="B54" s="50" t="s">
        <v>35</v>
      </c>
      <c r="C54" s="75"/>
      <c r="D54" s="75"/>
      <c r="E54" s="91" t="s">
        <v>165</v>
      </c>
      <c r="F54" s="91"/>
      <c r="G54" s="91"/>
      <c r="H54" s="91"/>
      <c r="I54" s="91"/>
      <c r="J54" s="92"/>
      <c r="W54" s="3"/>
      <c r="X54" s="3"/>
      <c r="Y54" s="3"/>
      <c r="Z54" s="3"/>
      <c r="AA54" s="3"/>
      <c r="AB54" s="3"/>
      <c r="AC54" s="3"/>
      <c r="AD54" s="3"/>
      <c r="AF54" s="3"/>
      <c r="AH54" s="3"/>
      <c r="AL54" s="3"/>
    </row>
    <row r="55" spans="2:38" x14ac:dyDescent="0.25">
      <c r="H55" s="33"/>
      <c r="W55" s="3"/>
      <c r="X55" s="3"/>
      <c r="Y55" s="3"/>
      <c r="Z55" s="3"/>
      <c r="AA55" s="3"/>
      <c r="AB55" s="3"/>
      <c r="AC55" s="3"/>
      <c r="AD55" s="3"/>
      <c r="AF55" s="3"/>
      <c r="AH55" s="3"/>
      <c r="AL55" s="3"/>
    </row>
    <row r="56" spans="2:38" x14ac:dyDescent="0.25">
      <c r="B56" s="97" t="str">
        <f>"Kosten per jaar bij "&amp;E54</f>
        <v>Kosten per jaar bij Tibber (dynamisch)</v>
      </c>
      <c r="C56" s="98"/>
      <c r="D56" s="98"/>
      <c r="E56" s="98"/>
      <c r="F56" s="43" t="s">
        <v>44</v>
      </c>
      <c r="G56" s="51" t="s">
        <v>43</v>
      </c>
      <c r="W56" s="3"/>
      <c r="X56" s="3"/>
      <c r="Y56" s="3"/>
      <c r="Z56" s="3"/>
      <c r="AA56" s="3"/>
      <c r="AB56" s="3"/>
      <c r="AC56" s="3"/>
      <c r="AD56" s="3"/>
      <c r="AF56" s="3"/>
      <c r="AH56" s="3"/>
      <c r="AL56" s="3"/>
    </row>
    <row r="57" spans="2:38" x14ac:dyDescent="0.25">
      <c r="B57" s="95" t="s">
        <v>39</v>
      </c>
      <c r="C57" s="96"/>
      <c r="D57" s="96"/>
      <c r="E57" s="96"/>
      <c r="F57" s="52">
        <f>_xlfn.XLOOKUP($E$54,$B:$B,$H:$H,0)</f>
        <v>0</v>
      </c>
      <c r="G57" s="53">
        <f>F57/12</f>
        <v>0</v>
      </c>
      <c r="H57" s="25"/>
      <c r="W57" s="3"/>
      <c r="X57" s="3"/>
      <c r="Y57" s="3"/>
      <c r="Z57" s="3"/>
      <c r="AA57" s="3"/>
      <c r="AB57" s="3"/>
      <c r="AC57" s="3"/>
      <c r="AD57" s="3"/>
      <c r="AF57" s="3"/>
      <c r="AH57" s="3"/>
      <c r="AL57" s="3"/>
    </row>
    <row r="58" spans="2:38" x14ac:dyDescent="0.25">
      <c r="B58" s="95" t="s">
        <v>29</v>
      </c>
      <c r="C58" s="96"/>
      <c r="D58" s="96"/>
      <c r="E58" s="96"/>
      <c r="F58" s="52">
        <f>_xlfn.XLOOKUP($E$54,$B:$B,$I:$I,0)</f>
        <v>71.88</v>
      </c>
      <c r="G58" s="53">
        <f>F58/12</f>
        <v>5.9899999999999993</v>
      </c>
      <c r="H58" s="25"/>
      <c r="W58" s="3"/>
      <c r="X58" s="3"/>
      <c r="Y58" s="3"/>
      <c r="Z58" s="3"/>
      <c r="AA58" s="3"/>
      <c r="AB58" s="3"/>
      <c r="AC58" s="3"/>
      <c r="AD58" s="3"/>
      <c r="AF58" s="3"/>
      <c r="AH58" s="3"/>
      <c r="AL58" s="3"/>
    </row>
    <row r="59" spans="2:38" x14ac:dyDescent="0.25">
      <c r="B59" s="95" t="s">
        <v>76</v>
      </c>
      <c r="C59" s="96"/>
      <c r="D59" s="96"/>
      <c r="E59" s="96"/>
      <c r="F59" s="52">
        <f>_xlfn.XLOOKUP($E$54,$B:$B,$J:$J,0)*$E$52+IF($E$52&gt;$E$53,($E$52-$E$53)*_xlfn.XLOOKUP($E$54,$B:$B,$P:$P,0),0)+_xlfn.XLOOKUP($E$54,$B:$B,$V:$V,0)</f>
        <v>519.98827822926921</v>
      </c>
      <c r="G59" s="53">
        <f>F59/12</f>
        <v>43.332356519105765</v>
      </c>
      <c r="H59" s="25"/>
      <c r="W59" s="3"/>
      <c r="X59" s="3"/>
      <c r="Y59" s="3"/>
      <c r="Z59" s="3"/>
      <c r="AA59" s="3"/>
      <c r="AB59" s="3"/>
      <c r="AC59" s="3"/>
      <c r="AD59" s="3"/>
      <c r="AF59" s="3"/>
      <c r="AH59" s="3"/>
      <c r="AL59" s="3"/>
    </row>
    <row r="60" spans="2:38" x14ac:dyDescent="0.25">
      <c r="B60" s="56" t="s">
        <v>182</v>
      </c>
      <c r="C60" s="5"/>
      <c r="D60" s="5"/>
      <c r="E60" s="5"/>
      <c r="F60" s="52">
        <f>_xlfn.XLOOKUP($E$54,$B:$B,$M:$M,0)*$E$53+IF($E$52&gt;$E$53,0,($E$53-$E$52)*_xlfn.XLOOKUP($E$54,$B:$B,$S:$S,0))+_xlfn.XLOOKUP($E$54,$B:$B,$X:$X,0)</f>
        <v>119.06400000000001</v>
      </c>
      <c r="G60" s="53">
        <f>F60/12</f>
        <v>9.9220000000000006</v>
      </c>
      <c r="H60" s="25"/>
      <c r="W60" s="3"/>
      <c r="X60" s="3"/>
      <c r="Y60" s="3"/>
      <c r="Z60" s="3"/>
      <c r="AA60" s="3"/>
      <c r="AB60" s="3"/>
      <c r="AC60" s="3"/>
      <c r="AD60" s="3"/>
      <c r="AF60" s="3"/>
      <c r="AH60" s="3"/>
      <c r="AL60" s="3"/>
    </row>
    <row r="61" spans="2:38" x14ac:dyDescent="0.25">
      <c r="B61" s="95" t="s">
        <v>75</v>
      </c>
      <c r="C61" s="96"/>
      <c r="D61" s="96"/>
      <c r="E61" s="96"/>
      <c r="F61" s="52">
        <f>_xlfn.XLOOKUP($E$54,$B:$B,$M:$M,0)*$E$53+IF($E$52&gt;$E$53,0,($E$53-$E$52)*_xlfn.XLOOKUP($E$54,$B:$B,$S:$S,0))+_xlfn.XLOOKUP($E$54,$B:$B,$W:$W,0)</f>
        <v>-97.283186438698792</v>
      </c>
      <c r="G61" s="53">
        <f t="shared" ref="G61:G67" si="10">F61/12</f>
        <v>-8.1069322032248987</v>
      </c>
      <c r="H61" s="25"/>
      <c r="W61" s="3"/>
      <c r="X61" s="3"/>
      <c r="Y61" s="3"/>
      <c r="Z61" s="3"/>
      <c r="AA61" s="3"/>
      <c r="AB61" s="3"/>
      <c r="AC61" s="3"/>
      <c r="AD61" s="3"/>
      <c r="AF61" s="3"/>
      <c r="AH61" s="3"/>
      <c r="AL61" s="3"/>
    </row>
    <row r="62" spans="2:38" x14ac:dyDescent="0.25">
      <c r="B62" s="56" t="s">
        <v>183</v>
      </c>
      <c r="C62" s="5"/>
      <c r="D62" s="5"/>
      <c r="E62" s="5"/>
      <c r="F62" s="52">
        <f>_xlfn.XLOOKUP($E$54,$B:$B,$M:$M,0)*$E$53+IF($E$52&gt;$E$53,0,($E$53-$E$52)*_xlfn.XLOOKUP($E$54,$B:$B,$S:$S,0))+_xlfn.XLOOKUP($E$54,$B:$B,$Y:$Y,0)</f>
        <v>-57.051500000000004</v>
      </c>
      <c r="G62" s="53">
        <f t="shared" si="10"/>
        <v>-4.754291666666667</v>
      </c>
      <c r="H62" s="25"/>
      <c r="W62" s="3"/>
      <c r="X62" s="3"/>
      <c r="Y62" s="3"/>
      <c r="Z62" s="3"/>
      <c r="AA62" s="3"/>
      <c r="AB62" s="3"/>
      <c r="AC62" s="3"/>
      <c r="AD62" s="3"/>
      <c r="AF62" s="3"/>
      <c r="AH62" s="3"/>
      <c r="AL62" s="3"/>
    </row>
    <row r="63" spans="2:38" x14ac:dyDescent="0.25">
      <c r="B63" s="95" t="s">
        <v>77</v>
      </c>
      <c r="C63" s="96"/>
      <c r="D63" s="96"/>
      <c r="E63" s="96"/>
      <c r="F63" s="52">
        <f>IF($E$52&lt;$E$53,0,($E$52-$E$53)*$F$69)</f>
        <v>307.09375</v>
      </c>
      <c r="G63" s="53">
        <f>F63/12</f>
        <v>25.591145833333332</v>
      </c>
      <c r="H63" s="25"/>
      <c r="W63" s="3"/>
      <c r="X63" s="3"/>
      <c r="Y63" s="3"/>
      <c r="Z63" s="3"/>
      <c r="AA63" s="3"/>
      <c r="AB63" s="3"/>
      <c r="AC63" s="3"/>
      <c r="AD63" s="3"/>
      <c r="AF63" s="3"/>
      <c r="AH63" s="3"/>
      <c r="AL63" s="3"/>
    </row>
    <row r="64" spans="2:38" x14ac:dyDescent="0.25">
      <c r="B64" s="95" t="s">
        <v>184</v>
      </c>
      <c r="C64" s="96"/>
      <c r="D64" s="96"/>
      <c r="E64" s="96"/>
      <c r="F64" s="52">
        <f>_xlfn.XLOOKUP($E$54,$B:$B,$AC:$AC,0)</f>
        <v>0</v>
      </c>
      <c r="G64" s="53">
        <f t="shared" si="10"/>
        <v>0</v>
      </c>
      <c r="H64" s="25"/>
      <c r="W64" s="3"/>
      <c r="X64" s="3"/>
      <c r="Y64" s="3"/>
      <c r="Z64" s="3"/>
      <c r="AA64" s="3"/>
      <c r="AB64" s="3"/>
      <c r="AC64" s="3"/>
      <c r="AD64" s="3"/>
      <c r="AF64" s="3"/>
      <c r="AH64" s="3"/>
      <c r="AL64" s="3"/>
    </row>
    <row r="65" spans="1:38" x14ac:dyDescent="0.25">
      <c r="B65" s="56" t="s">
        <v>185</v>
      </c>
      <c r="C65" s="5"/>
      <c r="D65" s="5"/>
      <c r="E65" s="5"/>
      <c r="F65" s="52">
        <f>_xlfn.XLOOKUP($E$54,$B:$B,$AD:$AD,0)*$E$53</f>
        <v>0</v>
      </c>
      <c r="G65" s="53">
        <f t="shared" si="10"/>
        <v>0</v>
      </c>
      <c r="H65" s="25"/>
      <c r="W65" s="3"/>
      <c r="X65" s="3"/>
      <c r="Y65" s="3"/>
      <c r="Z65" s="3"/>
      <c r="AA65" s="3"/>
      <c r="AB65" s="3"/>
      <c r="AC65" s="3"/>
      <c r="AD65" s="3"/>
      <c r="AF65" s="3"/>
      <c r="AH65" s="3"/>
      <c r="AL65" s="3"/>
    </row>
    <row r="66" spans="1:38" x14ac:dyDescent="0.25">
      <c r="B66" s="95" t="s">
        <v>78</v>
      </c>
      <c r="C66" s="96"/>
      <c r="D66" s="96"/>
      <c r="E66" s="96"/>
      <c r="F66" s="52">
        <v>-635.19000000000005</v>
      </c>
      <c r="G66" s="53">
        <f t="shared" si="10"/>
        <v>-52.932500000000005</v>
      </c>
      <c r="N66" s="24"/>
      <c r="W66" s="3"/>
      <c r="X66" s="3"/>
      <c r="Y66" s="3"/>
      <c r="Z66" s="3"/>
      <c r="AA66" s="3"/>
      <c r="AB66" s="3"/>
      <c r="AC66" s="3"/>
      <c r="AD66" s="3"/>
    </row>
    <row r="67" spans="1:38" ht="15" x14ac:dyDescent="0.4">
      <c r="B67" s="95" t="s">
        <v>79</v>
      </c>
      <c r="C67" s="96"/>
      <c r="D67" s="96"/>
      <c r="E67" s="96"/>
      <c r="F67" s="59">
        <f>365*1.2734</f>
        <v>464.79100000000005</v>
      </c>
      <c r="G67" s="60">
        <f t="shared" si="10"/>
        <v>38.732583333333338</v>
      </c>
      <c r="W67" s="3"/>
      <c r="X67" s="3"/>
      <c r="Y67" s="3"/>
      <c r="Z67" s="3"/>
      <c r="AA67" s="3"/>
      <c r="AB67" s="3"/>
      <c r="AC67" s="3"/>
      <c r="AD67" s="3"/>
      <c r="AJ67" s="3"/>
      <c r="AK67" s="3"/>
      <c r="AL67" s="3"/>
    </row>
    <row r="68" spans="1:38" x14ac:dyDescent="0.25">
      <c r="B68" s="100" t="s">
        <v>37</v>
      </c>
      <c r="C68" s="101"/>
      <c r="D68" s="101"/>
      <c r="E68" s="101"/>
      <c r="F68" s="54">
        <f>SUM(F57:F67)</f>
        <v>693.29234179057039</v>
      </c>
      <c r="G68" s="55">
        <f>F68/12</f>
        <v>57.774361815880866</v>
      </c>
      <c r="W68" s="3"/>
      <c r="X68" s="3"/>
      <c r="Y68" s="3"/>
      <c r="Z68" s="3"/>
      <c r="AA68" s="3"/>
      <c r="AB68" s="3"/>
      <c r="AC68" s="3"/>
      <c r="AD68" s="3"/>
      <c r="AJ68" s="3"/>
      <c r="AK68" s="3"/>
      <c r="AL68" s="3"/>
    </row>
    <row r="69" spans="1:38" x14ac:dyDescent="0.25">
      <c r="B69" s="102" t="s">
        <v>59</v>
      </c>
      <c r="C69" s="102"/>
      <c r="D69" s="102"/>
      <c r="E69" s="102"/>
      <c r="F69" s="34">
        <v>0.1228375</v>
      </c>
      <c r="G69" s="9" t="s">
        <v>51</v>
      </c>
      <c r="W69" s="3"/>
      <c r="X69" s="3"/>
      <c r="Y69" s="3"/>
      <c r="Z69" s="3"/>
      <c r="AA69" s="3"/>
      <c r="AB69" s="3"/>
      <c r="AC69" s="3"/>
      <c r="AD69" s="3"/>
      <c r="AJ69" s="3"/>
      <c r="AK69" s="3"/>
      <c r="AL69" s="3"/>
    </row>
    <row r="70" spans="1:38" x14ac:dyDescent="0.25">
      <c r="W70" s="3"/>
      <c r="X70" s="3"/>
      <c r="Y70" s="3"/>
      <c r="Z70" s="3"/>
      <c r="AA70" s="3"/>
      <c r="AB70" s="3"/>
      <c r="AC70" s="3"/>
      <c r="AD70" s="3"/>
      <c r="AJ70" s="3"/>
      <c r="AK70" s="3"/>
      <c r="AL70" s="3"/>
    </row>
    <row r="71" spans="1:38" x14ac:dyDescent="0.25">
      <c r="A71" s="93" t="s">
        <v>41</v>
      </c>
      <c r="B71" s="94"/>
      <c r="C71" s="88" t="s">
        <v>80</v>
      </c>
      <c r="D71" s="88"/>
      <c r="E71" s="88"/>
      <c r="F71" s="88"/>
      <c r="G71" s="89"/>
      <c r="AJ71" s="3"/>
      <c r="AK71" s="3"/>
      <c r="AL71" s="3"/>
    </row>
    <row r="72" spans="1:38" x14ac:dyDescent="0.25">
      <c r="A72" s="26" t="s">
        <v>0</v>
      </c>
      <c r="B72" s="27" t="s">
        <v>32</v>
      </c>
      <c r="C72" s="28" t="s">
        <v>1</v>
      </c>
      <c r="D72" s="28"/>
      <c r="E72" s="27" t="s">
        <v>56</v>
      </c>
      <c r="F72" s="28" t="s">
        <v>22</v>
      </c>
      <c r="G72" s="27" t="s">
        <v>57</v>
      </c>
      <c r="AJ72" s="3"/>
      <c r="AK72" s="3"/>
      <c r="AL72" s="3"/>
    </row>
    <row r="73" spans="1:38" x14ac:dyDescent="0.25">
      <c r="A73" s="29">
        <v>0.10074713985524164</v>
      </c>
      <c r="B73" s="30">
        <v>2.2211732620040388E-2</v>
      </c>
      <c r="C73" s="40">
        <v>0.100067</v>
      </c>
      <c r="D73" s="82"/>
      <c r="E73" s="61">
        <v>-7.586699999999999E-2</v>
      </c>
      <c r="F73" s="36">
        <f t="shared" ref="F73:F84" si="11">E$52*A73*C73</f>
        <v>48.391027410693432</v>
      </c>
      <c r="G73" s="37">
        <f t="shared" ref="G73:G84" si="12">E$53*B73*E73</f>
        <v>-3.8758162929745894</v>
      </c>
      <c r="AJ73" s="3"/>
      <c r="AK73" s="3"/>
      <c r="AL73" s="3"/>
    </row>
    <row r="74" spans="1:38" x14ac:dyDescent="0.25">
      <c r="A74" s="29">
        <v>9.2575297688536062E-2</v>
      </c>
      <c r="B74" s="30">
        <v>2.6224005454593132E-2</v>
      </c>
      <c r="C74" s="40">
        <v>7.8892000000000004E-2</v>
      </c>
      <c r="D74" s="82"/>
      <c r="E74" s="61">
        <v>-7.5261999999999996E-2</v>
      </c>
      <c r="F74" s="36">
        <f t="shared" si="11"/>
        <v>35.056561849171139</v>
      </c>
      <c r="G74" s="37">
        <f t="shared" si="12"/>
        <v>-4.539443526604253</v>
      </c>
      <c r="AJ74" s="3"/>
      <c r="AK74" s="3"/>
      <c r="AL74" s="3"/>
    </row>
    <row r="75" spans="1:38" x14ac:dyDescent="0.25">
      <c r="A75" s="29">
        <v>8.8956339014709312E-2</v>
      </c>
      <c r="B75" s="30">
        <v>7.7885296200141618E-2</v>
      </c>
      <c r="C75" s="40">
        <v>8.2401000000000002E-2</v>
      </c>
      <c r="D75" s="82"/>
      <c r="E75" s="61">
        <v>-5.1788000000000001E-2</v>
      </c>
      <c r="F75" s="36">
        <f t="shared" si="11"/>
        <v>35.184438197525097</v>
      </c>
      <c r="G75" s="37">
        <f t="shared" si="12"/>
        <v>-9.277104555109748</v>
      </c>
      <c r="AJ75" s="3"/>
      <c r="AK75" s="3"/>
      <c r="AL75" s="3"/>
    </row>
    <row r="76" spans="1:38" x14ac:dyDescent="0.25">
      <c r="A76" s="29">
        <v>8.3352790100396895E-2</v>
      </c>
      <c r="B76" s="30">
        <v>0.10437154170928067</v>
      </c>
      <c r="C76" s="40">
        <v>8.1795999999999994E-2</v>
      </c>
      <c r="D76" s="82"/>
      <c r="E76" s="61">
        <v>-3.0370999999999992E-2</v>
      </c>
      <c r="F76" s="36">
        <f t="shared" si="11"/>
        <v>32.726039131449909</v>
      </c>
      <c r="G76" s="37">
        <f t="shared" si="12"/>
        <v>-7.2906966144808942</v>
      </c>
      <c r="AJ76" s="3"/>
      <c r="AK76" s="3"/>
      <c r="AL76" s="3"/>
    </row>
    <row r="77" spans="1:38" x14ac:dyDescent="0.25">
      <c r="A77" s="29">
        <v>7.553116974083586E-2</v>
      </c>
      <c r="B77" s="30">
        <v>0.1290221068365982</v>
      </c>
      <c r="C77" s="40">
        <v>9.8130999999999982E-2</v>
      </c>
      <c r="D77" s="82"/>
      <c r="E77" s="61">
        <v>-2.6982999999999997E-2</v>
      </c>
      <c r="F77" s="36">
        <f t="shared" si="11"/>
        <v>35.577356245622219</v>
      </c>
      <c r="G77" s="37">
        <f t="shared" si="12"/>
        <v>-8.0072280701754366</v>
      </c>
      <c r="AJ77" s="3"/>
      <c r="AK77" s="3"/>
      <c r="AL77" s="3"/>
    </row>
    <row r="78" spans="1:38" x14ac:dyDescent="0.25">
      <c r="A78" s="29">
        <v>6.6658883959841222E-2</v>
      </c>
      <c r="B78" s="30">
        <v>0.18776387905488684</v>
      </c>
      <c r="C78" s="40">
        <v>9.6195000000000003E-2</v>
      </c>
      <c r="D78" s="82"/>
      <c r="E78" s="61">
        <v>-3.4484999999999988E-2</v>
      </c>
      <c r="F78" s="36">
        <f t="shared" si="11"/>
        <v>30.778806444081248</v>
      </c>
      <c r="G78" s="37">
        <f t="shared" si="12"/>
        <v>-14.892585949177871</v>
      </c>
      <c r="AJ78" s="3"/>
      <c r="AK78" s="3"/>
      <c r="AL78" s="3"/>
    </row>
    <row r="79" spans="1:38" x14ac:dyDescent="0.25">
      <c r="A79" s="29">
        <v>6.6191921550315197E-2</v>
      </c>
      <c r="B79" s="30">
        <v>0.13479138803660873</v>
      </c>
      <c r="C79" s="40">
        <v>9.1476000000000002E-2</v>
      </c>
      <c r="D79" s="82"/>
      <c r="E79" s="61">
        <v>-2.9402999999999995E-2</v>
      </c>
      <c r="F79" s="36">
        <f t="shared" si="11"/>
        <v>29.063866635535842</v>
      </c>
      <c r="G79" s="37">
        <f t="shared" si="12"/>
        <v>-9.1155237196129342</v>
      </c>
      <c r="AJ79" s="3"/>
      <c r="AK79" s="3"/>
      <c r="AL79" s="3"/>
    </row>
    <row r="80" spans="1:38" x14ac:dyDescent="0.25">
      <c r="A80" s="29">
        <v>7.2262432874153626E-2</v>
      </c>
      <c r="B80" s="30">
        <v>0.12587522618204702</v>
      </c>
      <c r="C80" s="40">
        <v>0.11749099999999998</v>
      </c>
      <c r="D80" s="82"/>
      <c r="E80" s="61">
        <v>-4.2470999999999988E-2</v>
      </c>
      <c r="F80" s="36">
        <f t="shared" si="11"/>
        <v>40.752890403922471</v>
      </c>
      <c r="G80" s="37">
        <f t="shared" si="12"/>
        <v>-12.295907481708751</v>
      </c>
      <c r="O80" s="23"/>
      <c r="P80" s="23"/>
      <c r="Q80" s="23"/>
      <c r="R80" s="23"/>
    </row>
    <row r="81" spans="1:8" x14ac:dyDescent="0.25">
      <c r="A81" s="29">
        <v>7.0511323838431006E-2</v>
      </c>
      <c r="B81" s="30">
        <v>0.11118978312747488</v>
      </c>
      <c r="C81" s="40">
        <v>0.11132</v>
      </c>
      <c r="D81" s="82"/>
      <c r="E81" s="61">
        <v>-4.283399999999999E-2</v>
      </c>
      <c r="F81" s="36">
        <f t="shared" si="11"/>
        <v>37.676738734531867</v>
      </c>
      <c r="G81" s="37">
        <f t="shared" si="12"/>
        <v>-10.954217292109194</v>
      </c>
      <c r="H81" s="23"/>
    </row>
    <row r="82" spans="1:8" x14ac:dyDescent="0.25">
      <c r="A82" s="29">
        <v>8.0084053233714661E-2</v>
      </c>
      <c r="B82" s="30">
        <v>4.7989929981905433E-2</v>
      </c>
      <c r="C82" s="40">
        <v>0.11991099999999999</v>
      </c>
      <c r="D82" s="82"/>
      <c r="E82" s="61">
        <v>-6.8365000000000009E-2</v>
      </c>
      <c r="F82" s="36">
        <f t="shared" si="11"/>
        <v>46.0942027550782</v>
      </c>
      <c r="G82" s="37">
        <f t="shared" si="12"/>
        <v>-7.5459125953898205</v>
      </c>
    </row>
    <row r="83" spans="1:8" x14ac:dyDescent="0.25">
      <c r="A83" s="29">
        <v>9.6077515759981302E-2</v>
      </c>
      <c r="B83" s="30">
        <v>2.150368447276637E-2</v>
      </c>
      <c r="C83" s="40">
        <v>0.13878699999999999</v>
      </c>
      <c r="D83" s="82"/>
      <c r="E83" s="61">
        <v>-0.11446599999999998</v>
      </c>
      <c r="F83" s="36">
        <f t="shared" si="11"/>
        <v>64.004688862946523</v>
      </c>
      <c r="G83" s="37">
        <f t="shared" si="12"/>
        <v>-5.6613137177772517</v>
      </c>
    </row>
    <row r="84" spans="1:8" x14ac:dyDescent="0.25">
      <c r="A84" s="31">
        <v>0.10705113238384309</v>
      </c>
      <c r="B84" s="32">
        <v>1.1171426323656676E-2</v>
      </c>
      <c r="C84" s="41">
        <v>0.16479987116319539</v>
      </c>
      <c r="D84" s="83"/>
      <c r="E84" s="62">
        <v>-0.1489606458123103</v>
      </c>
      <c r="F84" s="38">
        <f t="shared" si="11"/>
        <v>84.681661558711269</v>
      </c>
      <c r="G84" s="39">
        <f t="shared" si="12"/>
        <v>-3.8274366235780461</v>
      </c>
    </row>
  </sheetData>
  <sortState xmlns:xlrd2="http://schemas.microsoft.com/office/spreadsheetml/2017/richdata2" ref="A3:AL48">
    <sortCondition ref="F3:F48"/>
  </sortState>
  <mergeCells count="17">
    <mergeCell ref="B64:E64"/>
    <mergeCell ref="C71:G71"/>
    <mergeCell ref="E51:G51"/>
    <mergeCell ref="E54:J54"/>
    <mergeCell ref="A71:B71"/>
    <mergeCell ref="B63:E63"/>
    <mergeCell ref="B66:E66"/>
    <mergeCell ref="B67:E67"/>
    <mergeCell ref="B56:E56"/>
    <mergeCell ref="B57:E57"/>
    <mergeCell ref="B58:E58"/>
    <mergeCell ref="B59:E59"/>
    <mergeCell ref="E52:G52"/>
    <mergeCell ref="E53:G53"/>
    <mergeCell ref="B61:E61"/>
    <mergeCell ref="B68:E68"/>
    <mergeCell ref="B69:E69"/>
  </mergeCells>
  <conditionalFormatting sqref="F3:F48">
    <cfRule type="colorScale" priority="2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3:G48">
    <cfRule type="colorScale" priority="2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dataValidations count="1">
    <dataValidation type="list" allowBlank="1" showInputMessage="1" showErrorMessage="1" sqref="E54" xr:uid="{C4621466-AD2D-448E-979E-3665ECF080C4}">
      <formula1>$B$3:$B$48</formula1>
    </dataValidation>
  </dataValidations>
  <pageMargins left="0.7" right="0.7" top="0.75" bottom="0.75" header="0.3" footer="0.3"/>
  <pageSetup paperSize="9" orientation="portrait" r:id="rId1"/>
  <ignoredErrors>
    <ignoredError sqref="I8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FA8F6F-8C1C-4796-B22C-0F41AE3542A0}">
  <dimension ref="A1:E37"/>
  <sheetViews>
    <sheetView zoomScale="80" zoomScaleNormal="80" workbookViewId="0">
      <pane ySplit="1" topLeftCell="A2" activePane="bottomLeft" state="frozen"/>
      <selection pane="bottomLeft" activeCell="A2" sqref="A2:XFD2"/>
    </sheetView>
  </sheetViews>
  <sheetFormatPr defaultRowHeight="13.2" x14ac:dyDescent="0.25"/>
  <cols>
    <col min="1" max="1" width="23.77734375" bestFit="1" customWidth="1"/>
    <col min="2" max="3" width="9.77734375" style="73" customWidth="1"/>
    <col min="4" max="4" width="17.109375" bestFit="1" customWidth="1"/>
    <col min="5" max="5" width="75.88671875" bestFit="1" customWidth="1"/>
  </cols>
  <sheetData>
    <row r="1" spans="1:5" x14ac:dyDescent="0.25">
      <c r="A1" s="69" t="s">
        <v>106</v>
      </c>
      <c r="B1" s="70" t="s">
        <v>178</v>
      </c>
      <c r="C1" s="70" t="s">
        <v>177</v>
      </c>
      <c r="D1" s="69" t="s">
        <v>107</v>
      </c>
      <c r="E1" s="69" t="s">
        <v>179</v>
      </c>
    </row>
    <row r="2" spans="1:5" x14ac:dyDescent="0.25">
      <c r="A2" s="68" t="s">
        <v>130</v>
      </c>
      <c r="B2" s="71">
        <v>130000</v>
      </c>
      <c r="C2" s="71"/>
      <c r="E2" t="s">
        <v>92</v>
      </c>
    </row>
    <row r="3" spans="1:5" x14ac:dyDescent="0.25">
      <c r="A3" s="68" t="s">
        <v>26</v>
      </c>
      <c r="B3" s="71">
        <v>30000</v>
      </c>
      <c r="C3" s="71">
        <v>720000</v>
      </c>
      <c r="D3" t="s">
        <v>81</v>
      </c>
      <c r="E3" s="68" t="s">
        <v>125</v>
      </c>
    </row>
    <row r="4" spans="1:5" x14ac:dyDescent="0.25">
      <c r="A4" s="68" t="s">
        <v>114</v>
      </c>
      <c r="B4" s="71"/>
      <c r="C4" s="71"/>
      <c r="E4" t="s">
        <v>90</v>
      </c>
    </row>
    <row r="5" spans="1:5" x14ac:dyDescent="0.25">
      <c r="A5" s="68" t="s">
        <v>180</v>
      </c>
      <c r="B5" s="72"/>
      <c r="C5" s="71">
        <v>13500</v>
      </c>
      <c r="D5" t="s">
        <v>133</v>
      </c>
      <c r="E5" s="68" t="s">
        <v>134</v>
      </c>
    </row>
    <row r="6" spans="1:5" x14ac:dyDescent="0.25">
      <c r="A6" s="68" t="s">
        <v>120</v>
      </c>
      <c r="B6" s="71"/>
      <c r="C6" s="71"/>
      <c r="E6" s="68" t="s">
        <v>86</v>
      </c>
    </row>
    <row r="7" spans="1:5" x14ac:dyDescent="0.25">
      <c r="A7" s="68" t="s">
        <v>18</v>
      </c>
      <c r="B7" s="71"/>
      <c r="C7" s="71">
        <v>200000</v>
      </c>
      <c r="D7" s="68" t="s">
        <v>21</v>
      </c>
      <c r="E7" s="68" t="s">
        <v>98</v>
      </c>
    </row>
    <row r="8" spans="1:5" x14ac:dyDescent="0.25">
      <c r="A8" s="68" t="s">
        <v>117</v>
      </c>
      <c r="B8" s="71"/>
      <c r="C8" s="71"/>
      <c r="D8" s="68" t="s">
        <v>109</v>
      </c>
      <c r="E8" s="68" t="s">
        <v>110</v>
      </c>
    </row>
    <row r="9" spans="1:5" x14ac:dyDescent="0.25">
      <c r="A9" s="68" t="s">
        <v>100</v>
      </c>
      <c r="B9" s="71">
        <v>30000</v>
      </c>
      <c r="C9" s="71">
        <v>1270000</v>
      </c>
      <c r="E9" s="68" t="s">
        <v>87</v>
      </c>
    </row>
    <row r="10" spans="1:5" x14ac:dyDescent="0.25">
      <c r="A10" s="68" t="s">
        <v>122</v>
      </c>
      <c r="B10" s="71"/>
      <c r="C10" s="71"/>
      <c r="E10" s="68" t="s">
        <v>129</v>
      </c>
    </row>
    <row r="11" spans="1:5" x14ac:dyDescent="0.25">
      <c r="A11" s="68" t="s">
        <v>24</v>
      </c>
      <c r="B11" s="71"/>
      <c r="C11" s="71">
        <v>14000</v>
      </c>
      <c r="E11" t="s">
        <v>83</v>
      </c>
    </row>
    <row r="12" spans="1:5" x14ac:dyDescent="0.25">
      <c r="A12" s="68" t="s">
        <v>19</v>
      </c>
      <c r="B12" s="71"/>
      <c r="C12" s="71">
        <v>600000</v>
      </c>
      <c r="D12" s="68" t="s">
        <v>20</v>
      </c>
      <c r="E12" s="68" t="s">
        <v>101</v>
      </c>
    </row>
    <row r="13" spans="1:5" x14ac:dyDescent="0.25">
      <c r="A13" s="68" t="s">
        <v>108</v>
      </c>
      <c r="B13" s="71"/>
      <c r="C13" s="71">
        <v>30000</v>
      </c>
      <c r="E13" s="68" t="s">
        <v>88</v>
      </c>
    </row>
    <row r="14" spans="1:5" x14ac:dyDescent="0.25">
      <c r="A14" s="68" t="s">
        <v>102</v>
      </c>
      <c r="B14" s="71"/>
      <c r="C14" s="71">
        <v>300000</v>
      </c>
      <c r="E14" s="68" t="s">
        <v>104</v>
      </c>
    </row>
    <row r="15" spans="1:5" x14ac:dyDescent="0.25">
      <c r="A15" s="68" t="s">
        <v>20</v>
      </c>
      <c r="B15" s="71"/>
      <c r="C15" s="71">
        <v>1500000</v>
      </c>
      <c r="D15" s="68"/>
      <c r="E15" s="68" t="s">
        <v>101</v>
      </c>
    </row>
    <row r="16" spans="1:5" x14ac:dyDescent="0.25">
      <c r="A16" s="68" t="s">
        <v>28</v>
      </c>
      <c r="B16" s="71">
        <v>30000</v>
      </c>
      <c r="C16" s="71">
        <v>40000</v>
      </c>
      <c r="E16" s="68" t="s">
        <v>94</v>
      </c>
    </row>
    <row r="17" spans="1:5" x14ac:dyDescent="0.25">
      <c r="A17" s="68" t="s">
        <v>5</v>
      </c>
      <c r="B17" s="71"/>
      <c r="C17" s="71">
        <v>120000</v>
      </c>
      <c r="D17" s="68" t="s">
        <v>97</v>
      </c>
      <c r="E17" s="68" t="s">
        <v>96</v>
      </c>
    </row>
    <row r="18" spans="1:5" x14ac:dyDescent="0.25">
      <c r="A18" s="68" t="s">
        <v>111</v>
      </c>
      <c r="B18" s="71"/>
      <c r="C18" s="71">
        <v>600000</v>
      </c>
      <c r="E18" s="68" t="s">
        <v>99</v>
      </c>
    </row>
    <row r="19" spans="1:5" x14ac:dyDescent="0.25">
      <c r="A19" s="68" t="s">
        <v>118</v>
      </c>
      <c r="B19" s="71"/>
      <c r="C19" s="71"/>
      <c r="D19" t="s">
        <v>95</v>
      </c>
      <c r="E19" t="s">
        <v>181</v>
      </c>
    </row>
    <row r="20" spans="1:5" x14ac:dyDescent="0.25">
      <c r="A20" s="68" t="s">
        <v>119</v>
      </c>
      <c r="B20" s="71"/>
      <c r="C20" s="71"/>
      <c r="E20" s="68" t="s">
        <v>124</v>
      </c>
    </row>
    <row r="21" spans="1:5" x14ac:dyDescent="0.25">
      <c r="A21" s="68" t="s">
        <v>115</v>
      </c>
      <c r="B21" s="71"/>
      <c r="C21" s="71"/>
      <c r="E21" s="68" t="s">
        <v>137</v>
      </c>
    </row>
    <row r="22" spans="1:5" x14ac:dyDescent="0.25">
      <c r="A22" s="68" t="s">
        <v>193</v>
      </c>
      <c r="B22" s="72"/>
      <c r="C22" s="71">
        <v>134000</v>
      </c>
      <c r="E22" t="s">
        <v>135</v>
      </c>
    </row>
    <row r="23" spans="1:5" x14ac:dyDescent="0.25">
      <c r="A23" s="68" t="s">
        <v>6</v>
      </c>
      <c r="B23" s="71"/>
      <c r="C23" s="71">
        <v>25000</v>
      </c>
      <c r="E23" s="68" t="s">
        <v>128</v>
      </c>
    </row>
    <row r="24" spans="1:5" x14ac:dyDescent="0.25">
      <c r="A24" s="68" t="s">
        <v>136</v>
      </c>
      <c r="B24" s="71">
        <v>50000</v>
      </c>
      <c r="C24" s="71">
        <v>30000</v>
      </c>
      <c r="E24" s="68" t="s">
        <v>105</v>
      </c>
    </row>
    <row r="25" spans="1:5" x14ac:dyDescent="0.25">
      <c r="A25" s="68" t="s">
        <v>109</v>
      </c>
      <c r="B25" s="71">
        <v>30000</v>
      </c>
      <c r="C25" s="71"/>
      <c r="E25" s="68" t="s">
        <v>110</v>
      </c>
    </row>
    <row r="26" spans="1:5" x14ac:dyDescent="0.25">
      <c r="A26" s="68" t="s">
        <v>112</v>
      </c>
      <c r="B26" s="71"/>
      <c r="C26" s="71">
        <v>250000</v>
      </c>
      <c r="D26" s="68" t="s">
        <v>100</v>
      </c>
      <c r="E26" s="68" t="s">
        <v>87</v>
      </c>
    </row>
    <row r="27" spans="1:5" x14ac:dyDescent="0.25">
      <c r="A27" s="68" t="s">
        <v>113</v>
      </c>
      <c r="B27" s="71"/>
      <c r="C27" s="71">
        <v>50000</v>
      </c>
      <c r="D27" s="68" t="s">
        <v>21</v>
      </c>
      <c r="E27" s="68" t="s">
        <v>98</v>
      </c>
    </row>
    <row r="28" spans="1:5" x14ac:dyDescent="0.25">
      <c r="A28" s="68" t="s">
        <v>7</v>
      </c>
      <c r="B28" s="71"/>
      <c r="C28" s="71">
        <v>80000</v>
      </c>
      <c r="D28" s="68" t="s">
        <v>85</v>
      </c>
      <c r="E28" t="s">
        <v>126</v>
      </c>
    </row>
    <row r="29" spans="1:5" x14ac:dyDescent="0.25">
      <c r="A29" s="68" t="s">
        <v>195</v>
      </c>
      <c r="B29" s="72"/>
      <c r="C29" s="72"/>
      <c r="E29" s="68" t="s">
        <v>93</v>
      </c>
    </row>
    <row r="30" spans="1:5" x14ac:dyDescent="0.25">
      <c r="A30" s="68" t="s">
        <v>116</v>
      </c>
      <c r="B30" s="71">
        <v>7000</v>
      </c>
      <c r="C30" s="71"/>
      <c r="E30" t="s">
        <v>91</v>
      </c>
    </row>
    <row r="31" spans="1:5" x14ac:dyDescent="0.25">
      <c r="A31" s="68" t="s">
        <v>132</v>
      </c>
      <c r="B31" s="71">
        <v>30000</v>
      </c>
      <c r="C31" s="71"/>
      <c r="E31" t="s">
        <v>84</v>
      </c>
    </row>
    <row r="32" spans="1:5" x14ac:dyDescent="0.25">
      <c r="A32" s="68" t="s">
        <v>8</v>
      </c>
      <c r="B32" s="71"/>
      <c r="C32" s="71"/>
      <c r="E32" s="68" t="s">
        <v>127</v>
      </c>
    </row>
    <row r="33" spans="1:5" x14ac:dyDescent="0.25">
      <c r="A33" s="68" t="s">
        <v>3</v>
      </c>
      <c r="B33" s="71"/>
      <c r="C33" s="71">
        <v>200000</v>
      </c>
      <c r="D33" s="68" t="s">
        <v>20</v>
      </c>
      <c r="E33" s="68" t="s">
        <v>101</v>
      </c>
    </row>
    <row r="34" spans="1:5" x14ac:dyDescent="0.25">
      <c r="A34" s="68" t="s">
        <v>21</v>
      </c>
      <c r="B34" s="71"/>
      <c r="C34" s="71">
        <v>1700000</v>
      </c>
      <c r="E34" s="68" t="s">
        <v>98</v>
      </c>
    </row>
    <row r="35" spans="1:5" x14ac:dyDescent="0.25">
      <c r="A35" s="68" t="s">
        <v>9</v>
      </c>
      <c r="B35" s="71"/>
      <c r="C35" s="71">
        <v>30000</v>
      </c>
      <c r="E35" s="68" t="s">
        <v>103</v>
      </c>
    </row>
    <row r="36" spans="1:5" x14ac:dyDescent="0.25">
      <c r="A36" s="68" t="s">
        <v>121</v>
      </c>
      <c r="B36" s="71">
        <v>2000</v>
      </c>
      <c r="C36" s="71"/>
      <c r="E36" t="s">
        <v>89</v>
      </c>
    </row>
    <row r="37" spans="1:5" x14ac:dyDescent="0.25">
      <c r="A37" s="68" t="s">
        <v>123</v>
      </c>
      <c r="B37" s="71">
        <v>30000</v>
      </c>
      <c r="C37" s="71">
        <v>105000</v>
      </c>
      <c r="E37" t="s">
        <v>82</v>
      </c>
    </row>
  </sheetData>
  <autoFilter ref="A1:E1" xr:uid="{81FA8F6F-8C1C-4796-B22C-0F41AE3542A0}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48A2E3-BBD5-4327-A8C7-1D4689750C43}">
  <dimension ref="A1:A39"/>
  <sheetViews>
    <sheetView zoomScale="80" zoomScaleNormal="80" workbookViewId="0">
      <selection activeCell="G45" sqref="G45"/>
    </sheetView>
  </sheetViews>
  <sheetFormatPr defaultRowHeight="13.2" x14ac:dyDescent="0.25"/>
  <cols>
    <col min="1" max="16384" width="8.88671875" style="3"/>
  </cols>
  <sheetData>
    <row r="1" spans="1:1" x14ac:dyDescent="0.25">
      <c r="A1" s="9" t="s">
        <v>46</v>
      </c>
    </row>
    <row r="2" spans="1:1" x14ac:dyDescent="0.25">
      <c r="A2" s="3" t="s">
        <v>42</v>
      </c>
    </row>
    <row r="3" spans="1:1" x14ac:dyDescent="0.25">
      <c r="A3" s="9" t="s">
        <v>49</v>
      </c>
    </row>
    <row r="9" spans="1:1" x14ac:dyDescent="0.25">
      <c r="A9" s="9" t="s">
        <v>48</v>
      </c>
    </row>
    <row r="22" spans="1:1" x14ac:dyDescent="0.25">
      <c r="A22" s="9" t="s">
        <v>50</v>
      </c>
    </row>
    <row r="23" spans="1:1" x14ac:dyDescent="0.25">
      <c r="A23" s="9" t="s">
        <v>53</v>
      </c>
    </row>
    <row r="39" spans="1:1" x14ac:dyDescent="0.25">
      <c r="A39" s="3" t="s">
        <v>52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289560-3967-4C06-A741-AD1FD4C6389D}">
  <dimension ref="A1:V115"/>
  <sheetViews>
    <sheetView zoomScale="80" zoomScaleNormal="80" workbookViewId="0">
      <pane xSplit="3" ySplit="1" topLeftCell="M2" activePane="bottomRight" state="frozen"/>
      <selection pane="topRight" activeCell="D1" sqref="D1"/>
      <selection pane="bottomLeft" activeCell="A2" sqref="A2"/>
      <selection pane="bottomRight" activeCell="V41" sqref="V41"/>
    </sheetView>
  </sheetViews>
  <sheetFormatPr defaultRowHeight="13.2" x14ac:dyDescent="0.25"/>
  <cols>
    <col min="1" max="1" width="5.88671875" style="1" bestFit="1" customWidth="1"/>
    <col min="2" max="2" width="7" style="1" bestFit="1" customWidth="1"/>
    <col min="3" max="3" width="8.6640625" style="1" bestFit="1" customWidth="1"/>
    <col min="4" max="7" width="11.44140625" style="1" customWidth="1"/>
    <col min="8" max="21" width="11.44140625" customWidth="1"/>
    <col min="22" max="22" width="38.6640625" bestFit="1" customWidth="1"/>
    <col min="23" max="23" width="11.5546875" bestFit="1" customWidth="1"/>
  </cols>
  <sheetData>
    <row r="1" spans="1:22" ht="27" customHeight="1" x14ac:dyDescent="0.25">
      <c r="A1" s="17" t="s">
        <v>2</v>
      </c>
      <c r="B1" s="17" t="s">
        <v>38</v>
      </c>
      <c r="C1" s="17" t="s">
        <v>11</v>
      </c>
      <c r="D1" s="17" t="s">
        <v>26</v>
      </c>
      <c r="E1" s="17" t="s">
        <v>19</v>
      </c>
      <c r="F1" s="17" t="s">
        <v>20</v>
      </c>
      <c r="G1" s="17" t="s">
        <v>21</v>
      </c>
      <c r="H1" s="17" t="s">
        <v>5</v>
      </c>
      <c r="I1" s="17" t="s">
        <v>3</v>
      </c>
      <c r="J1" s="17" t="s">
        <v>9</v>
      </c>
      <c r="K1" s="18" t="s">
        <v>23</v>
      </c>
      <c r="L1" s="18" t="s">
        <v>28</v>
      </c>
      <c r="M1" s="18" t="s">
        <v>25</v>
      </c>
      <c r="N1" s="18" t="s">
        <v>24</v>
      </c>
      <c r="O1" s="18" t="s">
        <v>8</v>
      </c>
      <c r="P1" s="18" t="s">
        <v>7</v>
      </c>
      <c r="Q1" s="18" t="s">
        <v>27</v>
      </c>
      <c r="R1" s="18" t="s">
        <v>6</v>
      </c>
      <c r="S1" s="18" t="s">
        <v>18</v>
      </c>
      <c r="T1" s="18" t="s">
        <v>54</v>
      </c>
      <c r="U1" s="18" t="s">
        <v>55</v>
      </c>
    </row>
    <row r="2" spans="1:22" x14ac:dyDescent="0.25">
      <c r="A2" s="10"/>
      <c r="B2" s="10"/>
      <c r="C2" s="10"/>
      <c r="D2" s="6" t="s">
        <v>10</v>
      </c>
      <c r="E2" s="6" t="s">
        <v>10</v>
      </c>
      <c r="F2" s="6" t="s">
        <v>10</v>
      </c>
      <c r="G2" s="6" t="s">
        <v>10</v>
      </c>
      <c r="H2" s="6" t="s">
        <v>10</v>
      </c>
      <c r="I2" s="6" t="s">
        <v>10</v>
      </c>
      <c r="J2" s="6" t="s">
        <v>10</v>
      </c>
      <c r="K2" s="6" t="s">
        <v>10</v>
      </c>
      <c r="L2" s="6" t="s">
        <v>10</v>
      </c>
      <c r="M2" s="6" t="s">
        <v>10</v>
      </c>
      <c r="N2" s="6" t="s">
        <v>10</v>
      </c>
      <c r="O2" s="6" t="s">
        <v>10</v>
      </c>
      <c r="P2" s="6" t="s">
        <v>10</v>
      </c>
      <c r="Q2" s="6" t="s">
        <v>10</v>
      </c>
      <c r="R2" s="6" t="s">
        <v>10</v>
      </c>
      <c r="S2" s="6" t="s">
        <v>10</v>
      </c>
      <c r="T2" s="6" t="s">
        <v>10</v>
      </c>
      <c r="U2" s="6" t="s">
        <v>10</v>
      </c>
    </row>
    <row r="3" spans="1:22" x14ac:dyDescent="0.25">
      <c r="A3" s="10">
        <v>0</v>
      </c>
      <c r="B3" s="10">
        <v>5</v>
      </c>
      <c r="C3" s="10" t="str">
        <f>IF(AND(Rekentool!$E$53&gt;=A3,Rekentool!$E$53&lt;B3),"Ja","Nee")</f>
        <v>Nee</v>
      </c>
      <c r="D3" s="11">
        <v>0</v>
      </c>
      <c r="E3" s="11">
        <v>0</v>
      </c>
      <c r="F3" s="11">
        <v>0</v>
      </c>
      <c r="G3" s="11">
        <v>0</v>
      </c>
      <c r="H3" s="11">
        <v>0</v>
      </c>
      <c r="I3" s="11">
        <v>0</v>
      </c>
      <c r="J3" s="11">
        <v>0</v>
      </c>
      <c r="K3" s="11">
        <v>0</v>
      </c>
      <c r="L3" s="11">
        <v>0</v>
      </c>
      <c r="M3" s="11">
        <v>0</v>
      </c>
      <c r="N3" s="11">
        <v>0</v>
      </c>
      <c r="O3" s="11">
        <v>0</v>
      </c>
      <c r="P3" s="11">
        <v>0</v>
      </c>
      <c r="Q3" s="11">
        <v>0</v>
      </c>
      <c r="R3" s="11">
        <v>0</v>
      </c>
      <c r="S3" s="11">
        <v>0</v>
      </c>
      <c r="T3" s="11">
        <v>0</v>
      </c>
      <c r="U3" s="11">
        <v>0</v>
      </c>
      <c r="V3" s="2"/>
    </row>
    <row r="4" spans="1:22" x14ac:dyDescent="0.25">
      <c r="A4" s="10">
        <v>5</v>
      </c>
      <c r="B4" s="10">
        <v>50</v>
      </c>
      <c r="C4" s="10" t="str">
        <f>IF(AND(Rekentool!$E$53&gt;=A4,Rekentool!$E$53&lt;B4),"Ja","Nee")</f>
        <v>Nee</v>
      </c>
      <c r="D4" s="11">
        <f>3.05*12</f>
        <v>36.599999999999994</v>
      </c>
      <c r="E4" s="11">
        <v>0</v>
      </c>
      <c r="F4" s="11">
        <v>0</v>
      </c>
      <c r="G4" s="11">
        <v>0</v>
      </c>
      <c r="H4" s="11">
        <v>40.15</v>
      </c>
      <c r="I4" s="11">
        <f>1.25*12</f>
        <v>15</v>
      </c>
      <c r="J4" s="11">
        <v>0</v>
      </c>
      <c r="K4" s="11">
        <v>40.147799999999997</v>
      </c>
      <c r="L4" s="11">
        <v>30</v>
      </c>
      <c r="M4" s="11">
        <v>0</v>
      </c>
      <c r="N4" s="11">
        <v>0</v>
      </c>
      <c r="O4" s="11">
        <v>0</v>
      </c>
      <c r="P4" s="11">
        <v>0</v>
      </c>
      <c r="Q4" s="11">
        <v>0</v>
      </c>
      <c r="R4" s="11">
        <v>51</v>
      </c>
      <c r="S4" s="11">
        <v>0</v>
      </c>
      <c r="T4" s="11">
        <v>0</v>
      </c>
      <c r="U4" s="11">
        <v>0</v>
      </c>
      <c r="V4" s="2"/>
    </row>
    <row r="5" spans="1:22" x14ac:dyDescent="0.25">
      <c r="A5" s="10">
        <v>50</v>
      </c>
      <c r="B5" s="10">
        <v>100</v>
      </c>
      <c r="C5" s="10" t="str">
        <f>IF(AND(Rekentool!$E$53&gt;=A5,Rekentool!$E$53&lt;B5),"Ja","Nee")</f>
        <v>Nee</v>
      </c>
      <c r="D5" s="11">
        <f t="shared" ref="D5:D16" si="0">3.05*12</f>
        <v>36.599999999999994</v>
      </c>
      <c r="E5" s="11">
        <v>0</v>
      </c>
      <c r="F5" s="11">
        <v>0</v>
      </c>
      <c r="G5" s="11">
        <v>0</v>
      </c>
      <c r="H5" s="11">
        <v>40.15</v>
      </c>
      <c r="I5" s="11">
        <f>1.25*12</f>
        <v>15</v>
      </c>
      <c r="J5" s="11">
        <v>0</v>
      </c>
      <c r="K5" s="11">
        <v>40.147799999999997</v>
      </c>
      <c r="L5" s="11">
        <v>30</v>
      </c>
      <c r="M5" s="11">
        <v>0</v>
      </c>
      <c r="N5" s="11">
        <v>0</v>
      </c>
      <c r="O5" s="11">
        <v>144.60000000000002</v>
      </c>
      <c r="P5" s="11">
        <v>0</v>
      </c>
      <c r="Q5" s="11">
        <v>0</v>
      </c>
      <c r="R5" s="11">
        <v>51</v>
      </c>
      <c r="S5" s="11">
        <v>0</v>
      </c>
      <c r="T5" s="11">
        <v>0</v>
      </c>
      <c r="U5" s="11">
        <v>0</v>
      </c>
      <c r="V5" s="2"/>
    </row>
    <row r="6" spans="1:22" x14ac:dyDescent="0.25">
      <c r="A6" s="10">
        <v>100</v>
      </c>
      <c r="B6" s="10">
        <v>200</v>
      </c>
      <c r="C6" s="10" t="str">
        <f>IF(AND(Rekentool!$E$53&gt;=A6,Rekentool!$E$53&lt;B6),"Ja","Nee")</f>
        <v>Nee</v>
      </c>
      <c r="D6" s="11">
        <f t="shared" si="0"/>
        <v>36.599999999999994</v>
      </c>
      <c r="E6" s="11">
        <v>0</v>
      </c>
      <c r="F6" s="11">
        <v>0</v>
      </c>
      <c r="G6" s="11">
        <v>0</v>
      </c>
      <c r="H6" s="11">
        <v>40.15</v>
      </c>
      <c r="I6" s="11">
        <f>1.25*12</f>
        <v>15</v>
      </c>
      <c r="J6" s="11">
        <v>48</v>
      </c>
      <c r="K6" s="11">
        <v>40.147799999999997</v>
      </c>
      <c r="L6" s="11">
        <v>30</v>
      </c>
      <c r="M6" s="11">
        <v>0</v>
      </c>
      <c r="N6" s="11">
        <v>0</v>
      </c>
      <c r="O6" s="11">
        <v>144.60000000000002</v>
      </c>
      <c r="P6" s="11">
        <v>0</v>
      </c>
      <c r="Q6" s="11">
        <v>0</v>
      </c>
      <c r="R6" s="11">
        <v>51</v>
      </c>
      <c r="S6" s="11">
        <v>11.6</v>
      </c>
      <c r="T6" s="11">
        <v>0</v>
      </c>
      <c r="U6" s="11">
        <v>0</v>
      </c>
      <c r="V6" s="2"/>
    </row>
    <row r="7" spans="1:22" x14ac:dyDescent="0.25">
      <c r="A7" s="10">
        <v>200</v>
      </c>
      <c r="B7" s="10">
        <v>250</v>
      </c>
      <c r="C7" s="10" t="str">
        <f>IF(AND(Rekentool!$E$53&gt;=A7,Rekentool!$E$53&lt;B7),"Ja","Nee")</f>
        <v>Nee</v>
      </c>
      <c r="D7" s="11">
        <f t="shared" si="0"/>
        <v>36.599999999999994</v>
      </c>
      <c r="E7" s="11">
        <v>0</v>
      </c>
      <c r="F7" s="11">
        <v>0</v>
      </c>
      <c r="G7" s="11">
        <v>0</v>
      </c>
      <c r="H7" s="11">
        <v>40.15</v>
      </c>
      <c r="I7" s="11">
        <f>1.25*12</f>
        <v>15</v>
      </c>
      <c r="J7" s="11">
        <v>48</v>
      </c>
      <c r="K7" s="11">
        <v>40.147799999999997</v>
      </c>
      <c r="L7" s="11">
        <v>30</v>
      </c>
      <c r="M7" s="11">
        <v>0</v>
      </c>
      <c r="N7" s="11">
        <v>0</v>
      </c>
      <c r="O7" s="11">
        <v>144.60000000000002</v>
      </c>
      <c r="P7" s="11">
        <v>0</v>
      </c>
      <c r="Q7" s="11">
        <v>0</v>
      </c>
      <c r="R7" s="11">
        <v>51</v>
      </c>
      <c r="S7" s="11">
        <v>19.3</v>
      </c>
      <c r="T7" s="11">
        <v>0</v>
      </c>
      <c r="U7" s="11">
        <v>0</v>
      </c>
      <c r="V7" s="2"/>
    </row>
    <row r="8" spans="1:22" x14ac:dyDescent="0.25">
      <c r="A8" s="10">
        <v>250</v>
      </c>
      <c r="B8" s="10">
        <v>300</v>
      </c>
      <c r="C8" s="10" t="str">
        <f>IF(AND(Rekentool!$E$53&gt;=A8,Rekentool!$E$53&lt;B8),"Ja","Nee")</f>
        <v>Nee</v>
      </c>
      <c r="D8" s="11">
        <f t="shared" si="0"/>
        <v>36.599999999999994</v>
      </c>
      <c r="E8" s="11">
        <f>4.07*12</f>
        <v>48.84</v>
      </c>
      <c r="F8" s="11">
        <v>48.84</v>
      </c>
      <c r="G8" s="11">
        <v>0</v>
      </c>
      <c r="H8" s="11">
        <v>40.15</v>
      </c>
      <c r="I8" s="11">
        <f>3.75*12</f>
        <v>45</v>
      </c>
      <c r="J8" s="11">
        <v>48</v>
      </c>
      <c r="K8" s="11">
        <v>40.147799999999997</v>
      </c>
      <c r="L8" s="11">
        <v>30</v>
      </c>
      <c r="M8" s="11">
        <v>0</v>
      </c>
      <c r="N8" s="11">
        <v>0</v>
      </c>
      <c r="O8" s="11">
        <v>144.60000000000002</v>
      </c>
      <c r="P8" s="11">
        <v>36.839999999999996</v>
      </c>
      <c r="Q8" s="11">
        <v>0</v>
      </c>
      <c r="R8" s="11">
        <v>51</v>
      </c>
      <c r="S8" s="11">
        <v>19.3</v>
      </c>
      <c r="T8" s="11">
        <v>0</v>
      </c>
      <c r="U8" s="11">
        <v>0</v>
      </c>
      <c r="V8" s="2"/>
    </row>
    <row r="9" spans="1:22" x14ac:dyDescent="0.25">
      <c r="A9" s="10">
        <v>300</v>
      </c>
      <c r="B9" s="10">
        <v>400</v>
      </c>
      <c r="C9" s="10" t="str">
        <f>IF(AND(Rekentool!$E$53&gt;=A9,Rekentool!$E$53&lt;B9),"Ja","Nee")</f>
        <v>Nee</v>
      </c>
      <c r="D9" s="11">
        <f t="shared" si="0"/>
        <v>36.599999999999994</v>
      </c>
      <c r="E9" s="11">
        <v>48.84</v>
      </c>
      <c r="F9" s="11">
        <v>48.84</v>
      </c>
      <c r="G9" s="11">
        <v>0</v>
      </c>
      <c r="H9" s="11">
        <v>40.15</v>
      </c>
      <c r="I9" s="11">
        <f t="shared" ref="I9:I10" si="1">3.75*12</f>
        <v>45</v>
      </c>
      <c r="J9" s="11">
        <v>48</v>
      </c>
      <c r="K9" s="11">
        <v>40.147799999999997</v>
      </c>
      <c r="L9" s="11">
        <v>30</v>
      </c>
      <c r="M9" s="11">
        <v>0</v>
      </c>
      <c r="N9" s="11">
        <v>0</v>
      </c>
      <c r="O9" s="11">
        <v>144.60000000000002</v>
      </c>
      <c r="P9" s="11">
        <v>36.839999999999996</v>
      </c>
      <c r="Q9" s="11">
        <v>0</v>
      </c>
      <c r="R9" s="11">
        <v>51</v>
      </c>
      <c r="S9" s="11">
        <v>27</v>
      </c>
      <c r="T9" s="11">
        <v>0</v>
      </c>
      <c r="U9" s="11">
        <v>0</v>
      </c>
      <c r="V9" s="2"/>
    </row>
    <row r="10" spans="1:22" x14ac:dyDescent="0.25">
      <c r="A10" s="10">
        <v>400</v>
      </c>
      <c r="B10" s="10">
        <v>500</v>
      </c>
      <c r="C10" s="10" t="str">
        <f>IF(AND(Rekentool!$E$53&gt;=A10,Rekentool!$E$53&lt;B10),"Ja","Nee")</f>
        <v>Nee</v>
      </c>
      <c r="D10" s="11">
        <f t="shared" si="0"/>
        <v>36.599999999999994</v>
      </c>
      <c r="E10" s="11">
        <v>48.84</v>
      </c>
      <c r="F10" s="11">
        <v>48.84</v>
      </c>
      <c r="G10" s="11">
        <v>0</v>
      </c>
      <c r="H10" s="11">
        <v>40.15</v>
      </c>
      <c r="I10" s="11">
        <f t="shared" si="1"/>
        <v>45</v>
      </c>
      <c r="J10" s="11">
        <v>48</v>
      </c>
      <c r="K10" s="11">
        <v>40.147799999999997</v>
      </c>
      <c r="L10" s="11">
        <v>30</v>
      </c>
      <c r="M10" s="11">
        <v>0</v>
      </c>
      <c r="N10" s="11">
        <v>0</v>
      </c>
      <c r="O10" s="11">
        <v>144.60000000000002</v>
      </c>
      <c r="P10" s="11">
        <v>36.839999999999996</v>
      </c>
      <c r="Q10" s="11">
        <v>0</v>
      </c>
      <c r="R10" s="11">
        <v>51</v>
      </c>
      <c r="S10" s="11">
        <v>34.700000000000003</v>
      </c>
      <c r="T10" s="11">
        <v>0</v>
      </c>
      <c r="U10" s="11">
        <v>0</v>
      </c>
      <c r="V10" s="2"/>
    </row>
    <row r="11" spans="1:22" x14ac:dyDescent="0.25">
      <c r="A11" s="10">
        <v>500</v>
      </c>
      <c r="B11" s="10">
        <v>600</v>
      </c>
      <c r="C11" s="10" t="str">
        <f>IF(AND(Rekentool!$E$53&gt;=A11,Rekentool!$E$53&lt;B11),"Ja","Nee")</f>
        <v>Nee</v>
      </c>
      <c r="D11" s="11">
        <f t="shared" si="0"/>
        <v>36.599999999999994</v>
      </c>
      <c r="E11" s="11">
        <v>81.36</v>
      </c>
      <c r="F11" s="11">
        <v>81.36</v>
      </c>
      <c r="G11" s="11">
        <v>70</v>
      </c>
      <c r="H11" s="11">
        <v>40.15</v>
      </c>
      <c r="I11" s="11">
        <f>6.26*12</f>
        <v>75.12</v>
      </c>
      <c r="J11" s="11">
        <v>48</v>
      </c>
      <c r="K11" s="11">
        <v>40.147799999999997</v>
      </c>
      <c r="L11" s="11">
        <v>30</v>
      </c>
      <c r="M11" s="11">
        <v>0</v>
      </c>
      <c r="N11" s="11">
        <v>0</v>
      </c>
      <c r="O11" s="11">
        <v>199.79999999999998</v>
      </c>
      <c r="P11" s="11">
        <v>92.039999999999992</v>
      </c>
      <c r="Q11" s="11">
        <v>0</v>
      </c>
      <c r="R11" s="11">
        <v>51</v>
      </c>
      <c r="S11" s="11">
        <v>42.4</v>
      </c>
      <c r="T11" s="11">
        <v>0</v>
      </c>
      <c r="U11" s="11">
        <v>0</v>
      </c>
      <c r="V11" s="2"/>
    </row>
    <row r="12" spans="1:22" x14ac:dyDescent="0.25">
      <c r="A12" s="10">
        <v>600</v>
      </c>
      <c r="B12" s="10">
        <v>700</v>
      </c>
      <c r="C12" s="10" t="str">
        <f>IF(AND(Rekentool!$E$53&gt;=A12,Rekentool!$E$53&lt;B12),"Ja","Nee")</f>
        <v>Nee</v>
      </c>
      <c r="D12" s="11">
        <f t="shared" si="0"/>
        <v>36.599999999999994</v>
      </c>
      <c r="E12" s="11">
        <v>81.36</v>
      </c>
      <c r="F12" s="11">
        <v>81.36</v>
      </c>
      <c r="G12" s="11">
        <v>70</v>
      </c>
      <c r="H12" s="11">
        <v>40.15</v>
      </c>
      <c r="I12" s="11">
        <f t="shared" ref="I12:I13" si="2">6.26*12</f>
        <v>75.12</v>
      </c>
      <c r="J12" s="11">
        <v>48</v>
      </c>
      <c r="K12" s="11">
        <v>40.147799999999997</v>
      </c>
      <c r="L12" s="11">
        <v>30</v>
      </c>
      <c r="M12" s="11">
        <v>0</v>
      </c>
      <c r="N12" s="11">
        <v>0</v>
      </c>
      <c r="O12" s="11">
        <v>199.79999999999998</v>
      </c>
      <c r="P12" s="11">
        <v>92.039999999999992</v>
      </c>
      <c r="Q12" s="11">
        <v>0</v>
      </c>
      <c r="R12" s="11">
        <v>51</v>
      </c>
      <c r="S12" s="11">
        <v>50.2</v>
      </c>
      <c r="T12" s="11">
        <v>0</v>
      </c>
      <c r="U12" s="11">
        <v>0</v>
      </c>
      <c r="V12" s="2"/>
    </row>
    <row r="13" spans="1:22" x14ac:dyDescent="0.25">
      <c r="A13" s="10">
        <v>700</v>
      </c>
      <c r="B13" s="10">
        <v>750</v>
      </c>
      <c r="C13" s="10" t="str">
        <f>IF(AND(Rekentool!$E$53&gt;=A13,Rekentool!$E$53&lt;B13),"Ja","Nee")</f>
        <v>Nee</v>
      </c>
      <c r="D13" s="11">
        <f t="shared" si="0"/>
        <v>36.599999999999994</v>
      </c>
      <c r="E13" s="11">
        <v>81.36</v>
      </c>
      <c r="F13" s="11">
        <v>81.36</v>
      </c>
      <c r="G13" s="11">
        <v>70</v>
      </c>
      <c r="H13" s="11">
        <v>40.15</v>
      </c>
      <c r="I13" s="11">
        <f t="shared" si="2"/>
        <v>75.12</v>
      </c>
      <c r="J13" s="11">
        <v>48</v>
      </c>
      <c r="K13" s="11">
        <v>40.147799999999997</v>
      </c>
      <c r="L13" s="11">
        <v>30</v>
      </c>
      <c r="M13" s="11">
        <v>0</v>
      </c>
      <c r="N13" s="11">
        <v>0</v>
      </c>
      <c r="O13" s="11">
        <v>199.79999999999998</v>
      </c>
      <c r="P13" s="11">
        <v>92.039999999999992</v>
      </c>
      <c r="Q13" s="11">
        <v>0</v>
      </c>
      <c r="R13" s="11">
        <v>51</v>
      </c>
      <c r="S13" s="11">
        <v>57.8</v>
      </c>
      <c r="T13" s="11">
        <v>0</v>
      </c>
      <c r="U13" s="11">
        <v>0</v>
      </c>
      <c r="V13" s="2"/>
    </row>
    <row r="14" spans="1:22" x14ac:dyDescent="0.25">
      <c r="A14" s="10">
        <v>750</v>
      </c>
      <c r="B14" s="10">
        <v>800</v>
      </c>
      <c r="C14" s="10" t="str">
        <f>IF(AND(Rekentool!$E$53&gt;=A14,Rekentool!$E$53&lt;B14),"Ja","Nee")</f>
        <v>Nee</v>
      </c>
      <c r="D14" s="11">
        <f t="shared" si="0"/>
        <v>36.599999999999994</v>
      </c>
      <c r="E14" s="11">
        <v>113.64000000000001</v>
      </c>
      <c r="F14" s="11">
        <v>113.64000000000001</v>
      </c>
      <c r="G14" s="11">
        <v>102</v>
      </c>
      <c r="H14" s="11">
        <v>40.15</v>
      </c>
      <c r="I14" s="11">
        <f>8.75*12</f>
        <v>105</v>
      </c>
      <c r="J14" s="11">
        <v>48</v>
      </c>
      <c r="K14" s="11">
        <v>40.147799999999997</v>
      </c>
      <c r="L14" s="11">
        <v>30</v>
      </c>
      <c r="M14" s="11">
        <v>0</v>
      </c>
      <c r="N14" s="11">
        <v>0</v>
      </c>
      <c r="O14" s="11">
        <v>199.79999999999998</v>
      </c>
      <c r="P14" s="11">
        <v>92.039999999999992</v>
      </c>
      <c r="Q14" s="11">
        <v>0</v>
      </c>
      <c r="R14" s="11">
        <v>51</v>
      </c>
      <c r="S14" s="11">
        <v>57.8</v>
      </c>
      <c r="T14" s="11">
        <v>0</v>
      </c>
      <c r="U14" s="11">
        <v>0</v>
      </c>
      <c r="V14" s="2"/>
    </row>
    <row r="15" spans="1:22" x14ac:dyDescent="0.25">
      <c r="A15" s="10">
        <v>800</v>
      </c>
      <c r="B15" s="10">
        <v>900</v>
      </c>
      <c r="C15" s="10" t="str">
        <f>IF(AND(Rekentool!$E$53&gt;=A15,Rekentool!$E$53&lt;B15),"Ja","Nee")</f>
        <v>Nee</v>
      </c>
      <c r="D15" s="11">
        <f t="shared" si="0"/>
        <v>36.599999999999994</v>
      </c>
      <c r="E15" s="11">
        <v>113.64000000000001</v>
      </c>
      <c r="F15" s="11">
        <v>113.64000000000001</v>
      </c>
      <c r="G15" s="11">
        <v>102</v>
      </c>
      <c r="H15" s="11">
        <v>40.15</v>
      </c>
      <c r="I15" s="11">
        <f t="shared" ref="I15:I16" si="3">8.75*12</f>
        <v>105</v>
      </c>
      <c r="J15" s="11">
        <v>48</v>
      </c>
      <c r="K15" s="11">
        <v>40.147799999999997</v>
      </c>
      <c r="L15" s="11">
        <v>30</v>
      </c>
      <c r="M15" s="11">
        <v>0</v>
      </c>
      <c r="N15" s="11">
        <v>0</v>
      </c>
      <c r="O15" s="11">
        <v>199.79999999999998</v>
      </c>
      <c r="P15" s="11">
        <v>92.039999999999992</v>
      </c>
      <c r="Q15" s="11">
        <v>0</v>
      </c>
      <c r="R15" s="11">
        <v>51</v>
      </c>
      <c r="S15" s="11">
        <v>65.5</v>
      </c>
      <c r="T15" s="11">
        <v>0</v>
      </c>
      <c r="U15" s="11">
        <v>0</v>
      </c>
      <c r="V15" s="2"/>
    </row>
    <row r="16" spans="1:22" x14ac:dyDescent="0.25">
      <c r="A16" s="10">
        <v>900</v>
      </c>
      <c r="B16" s="10">
        <v>1000</v>
      </c>
      <c r="C16" s="10" t="str">
        <f>IF(AND(Rekentool!$E$53&gt;=A16,Rekentool!$E$53&lt;B16),"Ja","Nee")</f>
        <v>Nee</v>
      </c>
      <c r="D16" s="11">
        <f t="shared" si="0"/>
        <v>36.599999999999994</v>
      </c>
      <c r="E16" s="11">
        <v>113.64000000000001</v>
      </c>
      <c r="F16" s="11">
        <v>113.64000000000001</v>
      </c>
      <c r="G16" s="11">
        <v>102</v>
      </c>
      <c r="H16" s="11">
        <v>40.15</v>
      </c>
      <c r="I16" s="11">
        <f t="shared" si="3"/>
        <v>105</v>
      </c>
      <c r="J16" s="11">
        <v>48</v>
      </c>
      <c r="K16" s="11">
        <v>40.147799999999997</v>
      </c>
      <c r="L16" s="11">
        <v>30</v>
      </c>
      <c r="M16" s="11">
        <v>0</v>
      </c>
      <c r="N16" s="11">
        <v>0</v>
      </c>
      <c r="O16" s="11">
        <v>199.79999999999998</v>
      </c>
      <c r="P16" s="11">
        <v>92.039999999999992</v>
      </c>
      <c r="Q16" s="11">
        <v>0</v>
      </c>
      <c r="R16" s="11">
        <v>51</v>
      </c>
      <c r="S16" s="11">
        <v>73.3</v>
      </c>
      <c r="T16" s="11">
        <v>0</v>
      </c>
      <c r="U16" s="11">
        <v>0</v>
      </c>
      <c r="V16" s="2"/>
    </row>
    <row r="17" spans="1:22" x14ac:dyDescent="0.25">
      <c r="A17" s="10">
        <v>1000</v>
      </c>
      <c r="B17" s="10">
        <v>1100</v>
      </c>
      <c r="C17" s="10" t="str">
        <f>IF(AND(Rekentool!$E$53&gt;=A17,Rekentool!$E$53&lt;B17),"Ja","Nee")</f>
        <v>Nee</v>
      </c>
      <c r="D17" s="11">
        <f>10.07*12</f>
        <v>120.84</v>
      </c>
      <c r="E17" s="11">
        <v>146.16</v>
      </c>
      <c r="F17" s="11">
        <v>146.16</v>
      </c>
      <c r="G17" s="11">
        <v>138</v>
      </c>
      <c r="H17" s="11">
        <v>124.1</v>
      </c>
      <c r="I17" s="11">
        <f>11.25*12</f>
        <v>135</v>
      </c>
      <c r="J17" s="11">
        <f>12.5*12</f>
        <v>150</v>
      </c>
      <c r="K17" s="11">
        <v>124.0976</v>
      </c>
      <c r="L17" s="11">
        <v>132</v>
      </c>
      <c r="M17" s="11">
        <v>96.84</v>
      </c>
      <c r="N17" s="11">
        <v>96.84</v>
      </c>
      <c r="O17" s="11">
        <v>257.28000000000003</v>
      </c>
      <c r="P17" s="11">
        <v>149.52000000000001</v>
      </c>
      <c r="Q17" s="11">
        <v>85</v>
      </c>
      <c r="R17" s="11">
        <v>165</v>
      </c>
      <c r="S17" s="11">
        <v>80.900000000000006</v>
      </c>
      <c r="T17" s="11">
        <v>96.8</v>
      </c>
      <c r="U17" s="11">
        <v>97</v>
      </c>
      <c r="V17" s="2"/>
    </row>
    <row r="18" spans="1:22" x14ac:dyDescent="0.25">
      <c r="A18" s="10">
        <v>1100</v>
      </c>
      <c r="B18" s="10">
        <v>1200</v>
      </c>
      <c r="C18" s="10" t="str">
        <f>IF(AND(Rekentool!$E$53&gt;=A18,Rekentool!$E$53&lt;B18),"Ja","Nee")</f>
        <v>Nee</v>
      </c>
      <c r="D18" s="11">
        <f t="shared" ref="D18:D28" si="4">10.07*12</f>
        <v>120.84</v>
      </c>
      <c r="E18" s="11">
        <v>146.16</v>
      </c>
      <c r="F18" s="11">
        <v>146.16</v>
      </c>
      <c r="G18" s="11">
        <v>138</v>
      </c>
      <c r="H18" s="11">
        <v>124.1</v>
      </c>
      <c r="I18" s="11">
        <f t="shared" ref="I18:I19" si="5">11.25*12</f>
        <v>135</v>
      </c>
      <c r="J18" s="11">
        <f t="shared" ref="J18:J28" si="6">12.5*12</f>
        <v>150</v>
      </c>
      <c r="K18" s="11">
        <v>124.0976</v>
      </c>
      <c r="L18" s="11">
        <v>132</v>
      </c>
      <c r="M18" s="11">
        <v>96.84</v>
      </c>
      <c r="N18" s="11">
        <v>96.84</v>
      </c>
      <c r="O18" s="11">
        <v>257.28000000000003</v>
      </c>
      <c r="P18" s="11">
        <v>149.52000000000001</v>
      </c>
      <c r="Q18" s="11">
        <v>95</v>
      </c>
      <c r="R18" s="11">
        <v>165</v>
      </c>
      <c r="S18" s="11">
        <v>88.6</v>
      </c>
      <c r="T18" s="11">
        <v>96.8</v>
      </c>
      <c r="U18" s="11">
        <v>97</v>
      </c>
      <c r="V18" s="2"/>
    </row>
    <row r="19" spans="1:22" x14ac:dyDescent="0.25">
      <c r="A19" s="10">
        <v>1200</v>
      </c>
      <c r="B19" s="10">
        <v>1250</v>
      </c>
      <c r="C19" s="10" t="str">
        <f>IF(AND(Rekentool!$E$53&gt;=A19,Rekentool!$E$53&lt;B19),"Ja","Nee")</f>
        <v>Nee</v>
      </c>
      <c r="D19" s="11">
        <f t="shared" si="4"/>
        <v>120.84</v>
      </c>
      <c r="E19" s="11">
        <v>146.16</v>
      </c>
      <c r="F19" s="11">
        <v>146.16</v>
      </c>
      <c r="G19" s="11">
        <v>138</v>
      </c>
      <c r="H19" s="11">
        <v>124.1</v>
      </c>
      <c r="I19" s="11">
        <f t="shared" si="5"/>
        <v>135</v>
      </c>
      <c r="J19" s="11">
        <f t="shared" si="6"/>
        <v>150</v>
      </c>
      <c r="K19" s="11">
        <v>124.0976</v>
      </c>
      <c r="L19" s="11">
        <v>132</v>
      </c>
      <c r="M19" s="11">
        <v>96.84</v>
      </c>
      <c r="N19" s="11">
        <v>96.84</v>
      </c>
      <c r="O19" s="11">
        <v>257.28000000000003</v>
      </c>
      <c r="P19" s="11">
        <v>149.52000000000001</v>
      </c>
      <c r="Q19" s="11">
        <v>105</v>
      </c>
      <c r="R19" s="11">
        <v>165</v>
      </c>
      <c r="S19" s="11">
        <v>96.3</v>
      </c>
      <c r="T19" s="11">
        <v>96.8</v>
      </c>
      <c r="U19" s="11">
        <v>97</v>
      </c>
    </row>
    <row r="20" spans="1:22" x14ac:dyDescent="0.25">
      <c r="A20" s="10">
        <v>1250</v>
      </c>
      <c r="B20" s="10">
        <v>1300</v>
      </c>
      <c r="C20" s="10" t="str">
        <f>IF(AND(Rekentool!$E$53&gt;=A20,Rekentool!$E$53&lt;B20),"Ja","Nee")</f>
        <v>Nee</v>
      </c>
      <c r="D20" s="11">
        <f t="shared" si="4"/>
        <v>120.84</v>
      </c>
      <c r="E20" s="11">
        <v>178.8</v>
      </c>
      <c r="F20" s="11">
        <v>178.8</v>
      </c>
      <c r="G20" s="11">
        <v>169</v>
      </c>
      <c r="H20" s="11">
        <v>124.1</v>
      </c>
      <c r="I20" s="11">
        <f>13.75*12</f>
        <v>165</v>
      </c>
      <c r="J20" s="11">
        <f t="shared" si="6"/>
        <v>150</v>
      </c>
      <c r="K20" s="11">
        <v>124.0976</v>
      </c>
      <c r="L20" s="11">
        <v>132</v>
      </c>
      <c r="M20" s="11">
        <v>96.84</v>
      </c>
      <c r="N20" s="11">
        <v>96.84</v>
      </c>
      <c r="O20" s="11">
        <v>257.28000000000003</v>
      </c>
      <c r="P20" s="11">
        <v>149.52000000000001</v>
      </c>
      <c r="Q20" s="11">
        <v>105</v>
      </c>
      <c r="R20" s="11">
        <v>165</v>
      </c>
      <c r="S20" s="11">
        <v>96.3</v>
      </c>
      <c r="T20" s="11">
        <v>96.8</v>
      </c>
      <c r="U20" s="11">
        <v>97</v>
      </c>
    </row>
    <row r="21" spans="1:22" x14ac:dyDescent="0.25">
      <c r="A21" s="10">
        <v>1300</v>
      </c>
      <c r="B21" s="10">
        <v>1400</v>
      </c>
      <c r="C21" s="10" t="str">
        <f>IF(AND(Rekentool!$E$53&gt;=A21,Rekentool!$E$53&lt;B21),"Ja","Nee")</f>
        <v>Nee</v>
      </c>
      <c r="D21" s="11">
        <f t="shared" si="4"/>
        <v>120.84</v>
      </c>
      <c r="E21" s="11">
        <v>178.8</v>
      </c>
      <c r="F21" s="11">
        <v>178.8</v>
      </c>
      <c r="G21" s="11">
        <v>169</v>
      </c>
      <c r="H21" s="11">
        <v>124.1</v>
      </c>
      <c r="I21" s="11">
        <f t="shared" ref="I21:I22" si="7">13.75*12</f>
        <v>165</v>
      </c>
      <c r="J21" s="11">
        <f t="shared" si="6"/>
        <v>150</v>
      </c>
      <c r="K21" s="11">
        <v>124.0976</v>
      </c>
      <c r="L21" s="11">
        <v>132</v>
      </c>
      <c r="M21" s="11">
        <v>96.84</v>
      </c>
      <c r="N21" s="11">
        <v>96.84</v>
      </c>
      <c r="O21" s="11">
        <v>257.28000000000003</v>
      </c>
      <c r="P21" s="11">
        <v>149.52000000000001</v>
      </c>
      <c r="Q21" s="11">
        <v>115</v>
      </c>
      <c r="R21" s="11">
        <v>165</v>
      </c>
      <c r="S21" s="11">
        <v>104.1</v>
      </c>
      <c r="T21" s="11">
        <v>96.8</v>
      </c>
      <c r="U21" s="11">
        <v>97</v>
      </c>
    </row>
    <row r="22" spans="1:22" x14ac:dyDescent="0.25">
      <c r="A22" s="10">
        <v>1400</v>
      </c>
      <c r="B22" s="10">
        <v>1500</v>
      </c>
      <c r="C22" s="10" t="str">
        <f>IF(AND(Rekentool!$E$53&gt;=A22,Rekentool!$E$53&lt;B22),"Ja","Nee")</f>
        <v>Nee</v>
      </c>
      <c r="D22" s="11">
        <f t="shared" si="4"/>
        <v>120.84</v>
      </c>
      <c r="E22" s="11">
        <v>178.8</v>
      </c>
      <c r="F22" s="11">
        <v>178.8</v>
      </c>
      <c r="G22" s="11">
        <v>169</v>
      </c>
      <c r="H22" s="11">
        <v>124.1</v>
      </c>
      <c r="I22" s="11">
        <f t="shared" si="7"/>
        <v>165</v>
      </c>
      <c r="J22" s="11">
        <f t="shared" si="6"/>
        <v>150</v>
      </c>
      <c r="K22" s="11">
        <v>124.0976</v>
      </c>
      <c r="L22" s="11">
        <v>132</v>
      </c>
      <c r="M22" s="11">
        <v>96.84</v>
      </c>
      <c r="N22" s="11">
        <v>96.84</v>
      </c>
      <c r="O22" s="11">
        <v>257.28000000000003</v>
      </c>
      <c r="P22" s="11">
        <v>149.52000000000001</v>
      </c>
      <c r="Q22" s="11">
        <v>125</v>
      </c>
      <c r="R22" s="11">
        <v>165</v>
      </c>
      <c r="S22" s="11">
        <v>111.8</v>
      </c>
      <c r="T22" s="11">
        <v>96.8</v>
      </c>
      <c r="U22" s="11">
        <v>97</v>
      </c>
      <c r="V22" s="19"/>
    </row>
    <row r="23" spans="1:22" x14ac:dyDescent="0.25">
      <c r="A23" s="10">
        <v>1500</v>
      </c>
      <c r="B23" s="10">
        <v>1600</v>
      </c>
      <c r="C23" s="10" t="str">
        <f>IF(AND(Rekentool!$E$53&gt;=A23,Rekentool!$E$53&lt;B23),"Ja","Nee")</f>
        <v>Nee</v>
      </c>
      <c r="D23" s="11">
        <f t="shared" si="4"/>
        <v>120.84</v>
      </c>
      <c r="E23" s="11">
        <v>211.32</v>
      </c>
      <c r="F23" s="11">
        <v>211.32</v>
      </c>
      <c r="G23" s="11">
        <v>200</v>
      </c>
      <c r="H23" s="11">
        <v>124.1</v>
      </c>
      <c r="I23" s="11">
        <f>16.25*12</f>
        <v>195</v>
      </c>
      <c r="J23" s="11">
        <f t="shared" si="6"/>
        <v>150</v>
      </c>
      <c r="K23" s="11">
        <v>124.0976</v>
      </c>
      <c r="L23" s="11">
        <v>132</v>
      </c>
      <c r="M23" s="11">
        <v>133.07999999999998</v>
      </c>
      <c r="N23" s="11">
        <v>133.07999999999998</v>
      </c>
      <c r="O23" s="11">
        <v>314.88</v>
      </c>
      <c r="P23" s="11">
        <v>207</v>
      </c>
      <c r="Q23" s="11">
        <v>145</v>
      </c>
      <c r="R23" s="11">
        <v>165</v>
      </c>
      <c r="S23" s="11">
        <v>119.5</v>
      </c>
      <c r="T23" s="11">
        <v>133.1</v>
      </c>
      <c r="U23" s="11">
        <v>133</v>
      </c>
      <c r="V23" s="19"/>
    </row>
    <row r="24" spans="1:22" x14ac:dyDescent="0.25">
      <c r="A24" s="10">
        <v>1600</v>
      </c>
      <c r="B24" s="10">
        <v>1700</v>
      </c>
      <c r="C24" s="10" t="str">
        <f>IF(AND(Rekentool!$E$53&gt;=A24,Rekentool!$E$53&lt;B24),"Ja","Nee")</f>
        <v>Nee</v>
      </c>
      <c r="D24" s="11">
        <f t="shared" si="4"/>
        <v>120.84</v>
      </c>
      <c r="E24" s="11">
        <v>211.32</v>
      </c>
      <c r="F24" s="11">
        <v>211.32</v>
      </c>
      <c r="G24" s="11">
        <v>200</v>
      </c>
      <c r="H24" s="11">
        <v>124.1</v>
      </c>
      <c r="I24" s="11">
        <f t="shared" ref="I24:I25" si="8">16.25*12</f>
        <v>195</v>
      </c>
      <c r="J24" s="11">
        <f t="shared" si="6"/>
        <v>150</v>
      </c>
      <c r="K24" s="11">
        <v>124.0976</v>
      </c>
      <c r="L24" s="11">
        <v>132</v>
      </c>
      <c r="M24" s="11">
        <v>133.07999999999998</v>
      </c>
      <c r="N24" s="11">
        <v>133.07999999999998</v>
      </c>
      <c r="O24" s="11">
        <v>314.88</v>
      </c>
      <c r="P24" s="11">
        <v>207</v>
      </c>
      <c r="Q24" s="11">
        <v>145</v>
      </c>
      <c r="R24" s="11">
        <v>165</v>
      </c>
      <c r="S24" s="11">
        <v>127.2</v>
      </c>
      <c r="T24" s="11">
        <v>133.1</v>
      </c>
      <c r="U24" s="11">
        <v>133</v>
      </c>
      <c r="V24" s="19"/>
    </row>
    <row r="25" spans="1:22" x14ac:dyDescent="0.25">
      <c r="A25" s="10">
        <v>1700</v>
      </c>
      <c r="B25" s="10">
        <v>1750</v>
      </c>
      <c r="C25" s="10" t="str">
        <f>IF(AND(Rekentool!$E$53&gt;=A25,Rekentool!$E$53&lt;B25),"Ja","Nee")</f>
        <v>Nee</v>
      </c>
      <c r="D25" s="11">
        <f t="shared" si="4"/>
        <v>120.84</v>
      </c>
      <c r="E25" s="11">
        <v>211.32</v>
      </c>
      <c r="F25" s="11">
        <v>211.32</v>
      </c>
      <c r="G25" s="11">
        <v>200</v>
      </c>
      <c r="H25" s="11">
        <v>124.1</v>
      </c>
      <c r="I25" s="11">
        <f t="shared" si="8"/>
        <v>195</v>
      </c>
      <c r="J25" s="11">
        <f t="shared" si="6"/>
        <v>150</v>
      </c>
      <c r="K25" s="11">
        <v>124.0976</v>
      </c>
      <c r="L25" s="11">
        <v>132</v>
      </c>
      <c r="M25" s="11">
        <v>133.07999999999998</v>
      </c>
      <c r="N25" s="11">
        <v>133.07999999999998</v>
      </c>
      <c r="O25" s="11">
        <v>314.88</v>
      </c>
      <c r="P25" s="11">
        <v>207</v>
      </c>
      <c r="Q25" s="11">
        <v>145</v>
      </c>
      <c r="R25" s="11">
        <v>165</v>
      </c>
      <c r="S25" s="11">
        <v>134.9</v>
      </c>
      <c r="T25" s="11">
        <v>133.1</v>
      </c>
      <c r="U25" s="11">
        <v>133</v>
      </c>
      <c r="V25" s="19"/>
    </row>
    <row r="26" spans="1:22" x14ac:dyDescent="0.25">
      <c r="A26" s="10">
        <v>1750</v>
      </c>
      <c r="B26" s="10">
        <v>1800</v>
      </c>
      <c r="C26" s="10" t="str">
        <f>IF(AND(Rekentool!$E$53&gt;=A26,Rekentool!$E$53&lt;B26),"Ja","Nee")</f>
        <v>Nee</v>
      </c>
      <c r="D26" s="11">
        <f t="shared" si="4"/>
        <v>120.84</v>
      </c>
      <c r="E26" s="11">
        <v>243.84</v>
      </c>
      <c r="F26" s="11">
        <v>243.84</v>
      </c>
      <c r="G26" s="11">
        <v>231</v>
      </c>
      <c r="H26" s="11">
        <v>124.1</v>
      </c>
      <c r="I26" s="11">
        <f>18.75*12</f>
        <v>225</v>
      </c>
      <c r="J26" s="11">
        <f t="shared" si="6"/>
        <v>150</v>
      </c>
      <c r="K26" s="11">
        <v>124.0976</v>
      </c>
      <c r="L26" s="11">
        <v>132</v>
      </c>
      <c r="M26" s="11">
        <v>133.07999999999998</v>
      </c>
      <c r="N26" s="11">
        <v>133.07999999999998</v>
      </c>
      <c r="O26" s="11">
        <v>314.88</v>
      </c>
      <c r="P26" s="11">
        <v>207</v>
      </c>
      <c r="Q26" s="11">
        <v>175</v>
      </c>
      <c r="R26" s="11">
        <v>165</v>
      </c>
      <c r="S26" s="11">
        <v>134.9</v>
      </c>
      <c r="T26" s="11">
        <v>133.1</v>
      </c>
      <c r="U26" s="11">
        <v>133</v>
      </c>
      <c r="V26" s="19"/>
    </row>
    <row r="27" spans="1:22" x14ac:dyDescent="0.25">
      <c r="A27" s="10">
        <v>1800</v>
      </c>
      <c r="B27" s="10">
        <v>1900</v>
      </c>
      <c r="C27" s="10" t="str">
        <f>IF(AND(Rekentool!$E$53&gt;=A27,Rekentool!$E$53&lt;B27),"Ja","Nee")</f>
        <v>Nee</v>
      </c>
      <c r="D27" s="11">
        <f t="shared" si="4"/>
        <v>120.84</v>
      </c>
      <c r="E27" s="11">
        <v>243.84</v>
      </c>
      <c r="F27" s="11">
        <v>243.84</v>
      </c>
      <c r="G27" s="11">
        <v>231</v>
      </c>
      <c r="H27" s="11">
        <v>124.1</v>
      </c>
      <c r="I27" s="11">
        <f t="shared" ref="I27:I28" si="9">18.75*12</f>
        <v>225</v>
      </c>
      <c r="J27" s="11">
        <f t="shared" si="6"/>
        <v>150</v>
      </c>
      <c r="K27" s="11">
        <v>124.0976</v>
      </c>
      <c r="L27" s="11">
        <v>132</v>
      </c>
      <c r="M27" s="11">
        <v>133.07999999999998</v>
      </c>
      <c r="N27" s="11">
        <v>133.07999999999998</v>
      </c>
      <c r="O27" s="11">
        <v>314.88</v>
      </c>
      <c r="P27" s="11">
        <v>207</v>
      </c>
      <c r="Q27" s="11">
        <v>175</v>
      </c>
      <c r="R27" s="11">
        <v>165</v>
      </c>
      <c r="S27" s="11">
        <v>142.6</v>
      </c>
      <c r="T27" s="11">
        <v>133.1</v>
      </c>
      <c r="U27" s="11">
        <v>133</v>
      </c>
      <c r="V27" s="19"/>
    </row>
    <row r="28" spans="1:22" x14ac:dyDescent="0.25">
      <c r="A28" s="10">
        <v>1900</v>
      </c>
      <c r="B28" s="10">
        <v>2000</v>
      </c>
      <c r="C28" s="10" t="str">
        <f>IF(AND(Rekentool!$E$53&gt;=A28,Rekentool!$E$53&lt;B28),"Ja","Nee")</f>
        <v>Nee</v>
      </c>
      <c r="D28" s="11">
        <f t="shared" si="4"/>
        <v>120.84</v>
      </c>
      <c r="E28" s="11">
        <v>243.84</v>
      </c>
      <c r="F28" s="11">
        <v>243.84</v>
      </c>
      <c r="G28" s="11">
        <v>231</v>
      </c>
      <c r="H28" s="11">
        <v>124.1</v>
      </c>
      <c r="I28" s="11">
        <f t="shared" si="9"/>
        <v>225</v>
      </c>
      <c r="J28" s="11">
        <f t="shared" si="6"/>
        <v>150</v>
      </c>
      <c r="K28" s="11">
        <v>124.0976</v>
      </c>
      <c r="L28" s="11">
        <v>132</v>
      </c>
      <c r="M28" s="11">
        <v>133.07999999999998</v>
      </c>
      <c r="N28" s="11">
        <v>133.07999999999998</v>
      </c>
      <c r="O28" s="11">
        <v>314.88</v>
      </c>
      <c r="P28" s="11">
        <v>207</v>
      </c>
      <c r="Q28" s="11">
        <v>175</v>
      </c>
      <c r="R28" s="11">
        <v>165</v>
      </c>
      <c r="S28" s="11">
        <v>150.4</v>
      </c>
      <c r="T28" s="11">
        <v>133.1</v>
      </c>
      <c r="U28" s="11">
        <v>133</v>
      </c>
      <c r="V28" s="19"/>
    </row>
    <row r="29" spans="1:22" x14ac:dyDescent="0.25">
      <c r="A29" s="10">
        <v>2000</v>
      </c>
      <c r="B29" s="10">
        <v>2200</v>
      </c>
      <c r="C29" s="10" t="str">
        <f>IF(AND(Rekentool!$E$53&gt;=A29,Rekentool!$E$53&lt;B29),"Ja","Nee")</f>
        <v>Nee</v>
      </c>
      <c r="D29" s="11">
        <f>20.13*12</f>
        <v>241.56</v>
      </c>
      <c r="E29" s="11">
        <v>276.36</v>
      </c>
      <c r="F29" s="11">
        <v>276.36</v>
      </c>
      <c r="G29" s="11">
        <v>262</v>
      </c>
      <c r="H29" s="11">
        <v>269.91000000000003</v>
      </c>
      <c r="I29" s="11">
        <f>21.25*12</f>
        <v>255</v>
      </c>
      <c r="J29" s="11">
        <f>21*12</f>
        <v>252</v>
      </c>
      <c r="K29" s="11">
        <v>269.91000000000003</v>
      </c>
      <c r="L29" s="11">
        <v>234</v>
      </c>
      <c r="M29" s="11">
        <v>169.44</v>
      </c>
      <c r="N29" s="11">
        <v>169.44</v>
      </c>
      <c r="O29" s="11">
        <v>372.36</v>
      </c>
      <c r="P29" s="11">
        <v>264.48</v>
      </c>
      <c r="Q29" s="11">
        <v>205</v>
      </c>
      <c r="R29" s="11">
        <v>280</v>
      </c>
      <c r="S29" s="11">
        <v>161.9</v>
      </c>
      <c r="T29" s="11">
        <v>169.4</v>
      </c>
      <c r="U29" s="11">
        <v>169</v>
      </c>
      <c r="V29" s="19"/>
    </row>
    <row r="30" spans="1:22" x14ac:dyDescent="0.25">
      <c r="A30" s="10">
        <v>2200</v>
      </c>
      <c r="B30" s="10">
        <v>2250</v>
      </c>
      <c r="C30" s="10" t="str">
        <f>IF(AND(Rekentool!$E$53&gt;=A30,Rekentool!$E$53&lt;B30),"Ja","Nee")</f>
        <v>Nee</v>
      </c>
      <c r="D30" s="11">
        <f t="shared" ref="D30:D36" si="10">20.13*12</f>
        <v>241.56</v>
      </c>
      <c r="E30" s="11">
        <v>276.36</v>
      </c>
      <c r="F30" s="11">
        <v>276.36</v>
      </c>
      <c r="G30" s="11">
        <v>262</v>
      </c>
      <c r="H30" s="11">
        <v>269.91000000000003</v>
      </c>
      <c r="I30" s="11">
        <f>21.25*12</f>
        <v>255</v>
      </c>
      <c r="J30" s="11">
        <f t="shared" ref="J30:J36" si="11">21*12</f>
        <v>252</v>
      </c>
      <c r="K30" s="11">
        <v>269.91000000000003</v>
      </c>
      <c r="L30" s="11">
        <v>234</v>
      </c>
      <c r="M30" s="11">
        <v>169.44</v>
      </c>
      <c r="N30" s="11">
        <v>169.44</v>
      </c>
      <c r="O30" s="11">
        <v>372.36</v>
      </c>
      <c r="P30" s="11">
        <v>264.48</v>
      </c>
      <c r="Q30" s="11">
        <v>205</v>
      </c>
      <c r="R30" s="11">
        <v>280</v>
      </c>
      <c r="S30" s="11">
        <v>177.3</v>
      </c>
      <c r="T30" s="11">
        <v>169.4</v>
      </c>
      <c r="U30" s="11">
        <v>169</v>
      </c>
      <c r="V30" s="19"/>
    </row>
    <row r="31" spans="1:22" x14ac:dyDescent="0.25">
      <c r="A31" s="10">
        <v>2250</v>
      </c>
      <c r="B31" s="10">
        <v>2400</v>
      </c>
      <c r="C31" s="10" t="str">
        <f>IF(AND(Rekentool!$E$53&gt;=A31,Rekentool!$E$53&lt;B31),"Ja","Nee")</f>
        <v>Ja</v>
      </c>
      <c r="D31" s="11">
        <f t="shared" si="10"/>
        <v>241.56</v>
      </c>
      <c r="E31" s="11">
        <v>308.76</v>
      </c>
      <c r="F31" s="11">
        <v>308.76</v>
      </c>
      <c r="G31" s="11">
        <v>293</v>
      </c>
      <c r="H31" s="11">
        <v>269.91000000000003</v>
      </c>
      <c r="I31" s="11">
        <f>23.75*12</f>
        <v>285</v>
      </c>
      <c r="J31" s="11">
        <f t="shared" si="11"/>
        <v>252</v>
      </c>
      <c r="K31" s="11">
        <v>269.91000000000003</v>
      </c>
      <c r="L31" s="11">
        <v>234</v>
      </c>
      <c r="M31" s="11">
        <v>169.44</v>
      </c>
      <c r="N31" s="11">
        <v>169.44</v>
      </c>
      <c r="O31" s="11">
        <v>372.36</v>
      </c>
      <c r="P31" s="11">
        <v>264.48</v>
      </c>
      <c r="Q31" s="11">
        <v>240</v>
      </c>
      <c r="R31" s="11">
        <v>280</v>
      </c>
      <c r="S31" s="11">
        <v>177.3</v>
      </c>
      <c r="T31" s="11">
        <v>169.4</v>
      </c>
      <c r="U31" s="11">
        <v>169</v>
      </c>
      <c r="V31" s="19"/>
    </row>
    <row r="32" spans="1:22" x14ac:dyDescent="0.25">
      <c r="A32" s="10">
        <v>2400</v>
      </c>
      <c r="B32" s="10">
        <v>2500</v>
      </c>
      <c r="C32" s="10" t="str">
        <f>IF(AND(Rekentool!$E$53&gt;=A32,Rekentool!$E$53&lt;B32),"Ja","Nee")</f>
        <v>Nee</v>
      </c>
      <c r="D32" s="11">
        <f t="shared" si="10"/>
        <v>241.56</v>
      </c>
      <c r="E32" s="11">
        <v>308.76</v>
      </c>
      <c r="F32" s="11">
        <v>308.76</v>
      </c>
      <c r="G32" s="11">
        <v>293</v>
      </c>
      <c r="H32" s="11">
        <v>269.91000000000003</v>
      </c>
      <c r="I32" s="11">
        <f>23.75*12</f>
        <v>285</v>
      </c>
      <c r="J32" s="11">
        <f t="shared" si="11"/>
        <v>252</v>
      </c>
      <c r="K32" s="11">
        <v>269.91000000000003</v>
      </c>
      <c r="L32" s="11">
        <v>234</v>
      </c>
      <c r="M32" s="11">
        <v>169.44</v>
      </c>
      <c r="N32" s="11">
        <v>169.44</v>
      </c>
      <c r="O32" s="11">
        <v>372.36</v>
      </c>
      <c r="P32" s="11">
        <v>264.48</v>
      </c>
      <c r="Q32" s="11">
        <v>240</v>
      </c>
      <c r="R32" s="11">
        <v>280</v>
      </c>
      <c r="S32" s="11">
        <v>192.7</v>
      </c>
      <c r="T32" s="11">
        <v>169.4</v>
      </c>
      <c r="U32" s="11">
        <v>169</v>
      </c>
      <c r="V32" s="19"/>
    </row>
    <row r="33" spans="1:22" x14ac:dyDescent="0.25">
      <c r="A33" s="10">
        <v>2500</v>
      </c>
      <c r="B33" s="10">
        <v>2600</v>
      </c>
      <c r="C33" s="10" t="str">
        <f>IF(AND(Rekentool!$E$53&gt;=A33,Rekentool!$E$53&lt;B33),"Ja","Nee")</f>
        <v>Nee</v>
      </c>
      <c r="D33" s="11">
        <f t="shared" si="10"/>
        <v>241.56</v>
      </c>
      <c r="E33" s="11">
        <v>341.28000000000003</v>
      </c>
      <c r="F33" s="11">
        <v>341.28000000000003</v>
      </c>
      <c r="G33" s="11">
        <v>293</v>
      </c>
      <c r="H33" s="11">
        <v>269.91000000000003</v>
      </c>
      <c r="I33" s="11">
        <f>26.25*12</f>
        <v>315</v>
      </c>
      <c r="J33" s="11">
        <f t="shared" si="11"/>
        <v>252</v>
      </c>
      <c r="K33" s="11">
        <v>269.91000000000003</v>
      </c>
      <c r="L33" s="11">
        <v>234</v>
      </c>
      <c r="M33" s="11">
        <v>205.68</v>
      </c>
      <c r="N33" s="11">
        <v>205.68</v>
      </c>
      <c r="O33" s="11">
        <v>429.84000000000003</v>
      </c>
      <c r="P33" s="11">
        <v>322.08</v>
      </c>
      <c r="Q33" s="11">
        <v>275</v>
      </c>
      <c r="R33" s="11">
        <v>280</v>
      </c>
      <c r="S33" s="11">
        <v>192.7</v>
      </c>
      <c r="T33" s="11">
        <v>205.7</v>
      </c>
      <c r="U33" s="11">
        <v>206</v>
      </c>
      <c r="V33" s="19"/>
    </row>
    <row r="34" spans="1:22" x14ac:dyDescent="0.25">
      <c r="A34" s="10">
        <v>2600</v>
      </c>
      <c r="B34" s="10">
        <v>2750</v>
      </c>
      <c r="C34" s="10" t="str">
        <f>IF(AND(Rekentool!$E$53&gt;=A34,Rekentool!$E$53&lt;B34),"Ja","Nee")</f>
        <v>Nee</v>
      </c>
      <c r="D34" s="11">
        <f t="shared" si="10"/>
        <v>241.56</v>
      </c>
      <c r="E34" s="11">
        <v>341.28000000000003</v>
      </c>
      <c r="F34" s="11">
        <v>341.28000000000003</v>
      </c>
      <c r="G34" s="11">
        <v>293</v>
      </c>
      <c r="H34" s="11">
        <v>269.91000000000003</v>
      </c>
      <c r="I34" s="11">
        <f>26.25*12</f>
        <v>315</v>
      </c>
      <c r="J34" s="11">
        <f t="shared" si="11"/>
        <v>252</v>
      </c>
      <c r="K34" s="11">
        <v>269.91000000000003</v>
      </c>
      <c r="L34" s="11">
        <v>234</v>
      </c>
      <c r="M34" s="11">
        <v>205.68</v>
      </c>
      <c r="N34" s="11">
        <v>205.68</v>
      </c>
      <c r="O34" s="11">
        <v>429.84000000000003</v>
      </c>
      <c r="P34" s="11">
        <v>322.08</v>
      </c>
      <c r="Q34" s="11">
        <v>275</v>
      </c>
      <c r="R34" s="11">
        <v>280</v>
      </c>
      <c r="S34" s="11">
        <v>208.1</v>
      </c>
      <c r="T34" s="11">
        <v>205.7</v>
      </c>
      <c r="U34" s="11">
        <v>206</v>
      </c>
      <c r="V34" s="19"/>
    </row>
    <row r="35" spans="1:22" x14ac:dyDescent="0.25">
      <c r="A35" s="10">
        <v>2750</v>
      </c>
      <c r="B35" s="10">
        <v>2800</v>
      </c>
      <c r="C35" s="10" t="str">
        <f>IF(AND(Rekentool!$E$53&gt;=A35,Rekentool!$E$53&lt;B35),"Ja","Nee")</f>
        <v>Nee</v>
      </c>
      <c r="D35" s="11">
        <f t="shared" si="10"/>
        <v>241.56</v>
      </c>
      <c r="E35" s="11">
        <v>373.79999999999995</v>
      </c>
      <c r="F35" s="11">
        <v>373.79999999999995</v>
      </c>
      <c r="G35" s="11">
        <v>354</v>
      </c>
      <c r="H35" s="11">
        <v>269.91000000000003</v>
      </c>
      <c r="I35" s="11">
        <f>28.75*12</f>
        <v>345</v>
      </c>
      <c r="J35" s="11">
        <f t="shared" si="11"/>
        <v>252</v>
      </c>
      <c r="K35" s="11">
        <v>269.91000000000003</v>
      </c>
      <c r="L35" s="11">
        <v>234</v>
      </c>
      <c r="M35" s="11">
        <v>205.68</v>
      </c>
      <c r="N35" s="11">
        <v>205.68</v>
      </c>
      <c r="O35" s="11">
        <v>429.84000000000003</v>
      </c>
      <c r="P35" s="11">
        <v>322.08</v>
      </c>
      <c r="Q35" s="11">
        <v>310</v>
      </c>
      <c r="R35" s="11">
        <v>280</v>
      </c>
      <c r="S35" s="11">
        <v>208.1</v>
      </c>
      <c r="T35" s="11">
        <v>205.7</v>
      </c>
      <c r="U35" s="11">
        <v>206</v>
      </c>
      <c r="V35" s="19"/>
    </row>
    <row r="36" spans="1:22" x14ac:dyDescent="0.25">
      <c r="A36" s="10">
        <v>2800</v>
      </c>
      <c r="B36" s="10">
        <v>3000</v>
      </c>
      <c r="C36" s="10" t="str">
        <f>IF(AND(Rekentool!$E$53&gt;=A36,Rekentool!$E$53&lt;B36),"Ja","Nee")</f>
        <v>Nee</v>
      </c>
      <c r="D36" s="11">
        <f t="shared" si="10"/>
        <v>241.56</v>
      </c>
      <c r="E36" s="11">
        <v>373.79999999999995</v>
      </c>
      <c r="F36" s="11">
        <v>373.79999999999995</v>
      </c>
      <c r="G36" s="11">
        <v>354</v>
      </c>
      <c r="H36" s="11">
        <v>269.91000000000003</v>
      </c>
      <c r="I36" s="11">
        <f>28.75*12</f>
        <v>345</v>
      </c>
      <c r="J36" s="11">
        <f t="shared" si="11"/>
        <v>252</v>
      </c>
      <c r="K36" s="11">
        <v>269.91000000000003</v>
      </c>
      <c r="L36" s="11">
        <v>234</v>
      </c>
      <c r="M36" s="11">
        <v>205.68</v>
      </c>
      <c r="N36" s="11">
        <v>205.68</v>
      </c>
      <c r="O36" s="11">
        <v>429.84000000000003</v>
      </c>
      <c r="P36" s="11">
        <v>322.08</v>
      </c>
      <c r="Q36" s="11">
        <v>310</v>
      </c>
      <c r="R36" s="11">
        <v>280</v>
      </c>
      <c r="S36" s="11">
        <v>223.5</v>
      </c>
      <c r="T36" s="11">
        <v>205.7</v>
      </c>
      <c r="U36" s="11">
        <v>206</v>
      </c>
      <c r="V36" s="19"/>
    </row>
    <row r="37" spans="1:22" x14ac:dyDescent="0.25">
      <c r="A37" s="10">
        <v>3000</v>
      </c>
      <c r="B37" s="10">
        <v>3200</v>
      </c>
      <c r="C37" s="10" t="str">
        <f>IF(AND(Rekentool!$E$53&gt;=A37,Rekentool!$E$53&lt;B37),"Ja","Nee")</f>
        <v>Nee</v>
      </c>
      <c r="D37" s="11">
        <v>361.35</v>
      </c>
      <c r="E37" s="11">
        <v>406.32</v>
      </c>
      <c r="F37" s="11">
        <v>406.32</v>
      </c>
      <c r="G37" s="11">
        <v>402</v>
      </c>
      <c r="H37" s="11">
        <v>439.9</v>
      </c>
      <c r="I37" s="11">
        <f>31.25*12</f>
        <v>375</v>
      </c>
      <c r="J37" s="11">
        <f>29*12</f>
        <v>348</v>
      </c>
      <c r="K37" s="11">
        <v>439.9</v>
      </c>
      <c r="L37" s="11">
        <v>330</v>
      </c>
      <c r="M37" s="11">
        <v>242.04000000000002</v>
      </c>
      <c r="N37" s="11">
        <v>242.04000000000002</v>
      </c>
      <c r="O37" s="11">
        <v>487.32</v>
      </c>
      <c r="P37" s="11">
        <v>379.56</v>
      </c>
      <c r="Q37" s="11">
        <v>345</v>
      </c>
      <c r="R37" s="11">
        <v>392</v>
      </c>
      <c r="S37" s="11">
        <v>242</v>
      </c>
      <c r="T37" s="11">
        <v>242</v>
      </c>
      <c r="U37" s="11">
        <v>242</v>
      </c>
    </row>
    <row r="38" spans="1:22" x14ac:dyDescent="0.25">
      <c r="A38" s="10">
        <v>3200</v>
      </c>
      <c r="B38" s="10">
        <v>3250</v>
      </c>
      <c r="C38" s="10" t="str">
        <f>IF(AND(Rekentool!$E$53&gt;=A38,Rekentool!$E$53&lt;B38),"Ja","Nee")</f>
        <v>Nee</v>
      </c>
      <c r="D38" s="11">
        <v>361.35</v>
      </c>
      <c r="E38" s="11">
        <v>406.32</v>
      </c>
      <c r="F38" s="11">
        <v>406.32</v>
      </c>
      <c r="G38" s="11">
        <v>402</v>
      </c>
      <c r="H38" s="11">
        <v>439.9</v>
      </c>
      <c r="I38" s="11">
        <f>31.25*12</f>
        <v>375</v>
      </c>
      <c r="J38" s="11">
        <f t="shared" ref="J38:J43" si="12">29*12</f>
        <v>348</v>
      </c>
      <c r="K38" s="11">
        <v>439.9</v>
      </c>
      <c r="L38" s="11">
        <v>330</v>
      </c>
      <c r="M38" s="11">
        <v>242.04000000000002</v>
      </c>
      <c r="N38" s="11">
        <v>242.04000000000002</v>
      </c>
      <c r="O38" s="11">
        <v>487.32</v>
      </c>
      <c r="P38" s="11">
        <v>379.56</v>
      </c>
      <c r="Q38" s="11">
        <v>345</v>
      </c>
      <c r="R38" s="11">
        <v>392</v>
      </c>
      <c r="S38" s="11">
        <v>242.8</v>
      </c>
      <c r="T38" s="11">
        <v>242</v>
      </c>
      <c r="U38" s="11">
        <v>242</v>
      </c>
    </row>
    <row r="39" spans="1:22" x14ac:dyDescent="0.25">
      <c r="A39" s="10">
        <v>3250</v>
      </c>
      <c r="B39" s="10">
        <v>3300</v>
      </c>
      <c r="C39" s="10" t="str">
        <f>IF(AND(Rekentool!$E$53&gt;=A39,Rekentool!$E$53&lt;B39),"Ja","Nee")</f>
        <v>Nee</v>
      </c>
      <c r="D39" s="11">
        <v>361.35</v>
      </c>
      <c r="E39" s="11">
        <v>438.84000000000003</v>
      </c>
      <c r="F39" s="11">
        <v>438.84000000000003</v>
      </c>
      <c r="G39" s="11">
        <v>402</v>
      </c>
      <c r="H39" s="11">
        <v>439.9</v>
      </c>
      <c r="I39" s="11">
        <f>33.75*12</f>
        <v>405</v>
      </c>
      <c r="J39" s="11">
        <f t="shared" si="12"/>
        <v>348</v>
      </c>
      <c r="K39" s="11">
        <v>439.9</v>
      </c>
      <c r="L39" s="11">
        <v>330</v>
      </c>
      <c r="M39" s="11">
        <v>242.04000000000002</v>
      </c>
      <c r="N39" s="11">
        <v>242.04000000000002</v>
      </c>
      <c r="O39" s="11">
        <v>487.32</v>
      </c>
      <c r="P39" s="11">
        <v>379.56</v>
      </c>
      <c r="Q39" s="11">
        <v>370</v>
      </c>
      <c r="R39" s="11">
        <v>392</v>
      </c>
      <c r="S39" s="11">
        <v>242.8</v>
      </c>
      <c r="T39" s="11">
        <v>242</v>
      </c>
      <c r="U39" s="11">
        <v>242</v>
      </c>
    </row>
    <row r="40" spans="1:22" x14ac:dyDescent="0.25">
      <c r="A40" s="10">
        <v>3300</v>
      </c>
      <c r="B40" s="10">
        <v>3500</v>
      </c>
      <c r="C40" s="10" t="str">
        <f>IF(AND(Rekentool!$E$53&gt;=A40,Rekentool!$E$53&lt;B40),"Ja","Nee")</f>
        <v>Nee</v>
      </c>
      <c r="D40" s="11">
        <v>361.35</v>
      </c>
      <c r="E40" s="11">
        <v>438.84000000000003</v>
      </c>
      <c r="F40" s="11">
        <v>438.84000000000003</v>
      </c>
      <c r="G40" s="11">
        <v>402</v>
      </c>
      <c r="H40" s="11">
        <v>439.9</v>
      </c>
      <c r="I40" s="11">
        <f>33.75*12</f>
        <v>405</v>
      </c>
      <c r="J40" s="11">
        <f t="shared" si="12"/>
        <v>348</v>
      </c>
      <c r="K40" s="11">
        <v>439.9</v>
      </c>
      <c r="L40" s="11">
        <v>330</v>
      </c>
      <c r="M40" s="11">
        <v>242.04000000000002</v>
      </c>
      <c r="N40" s="11">
        <v>242.04000000000002</v>
      </c>
      <c r="O40" s="11">
        <v>487.32</v>
      </c>
      <c r="P40" s="11">
        <v>379.56</v>
      </c>
      <c r="Q40" s="11">
        <v>370</v>
      </c>
      <c r="R40" s="11">
        <v>392</v>
      </c>
      <c r="S40" s="11">
        <v>265.89999999999998</v>
      </c>
      <c r="T40" s="11">
        <v>242</v>
      </c>
      <c r="U40" s="11">
        <v>242</v>
      </c>
    </row>
    <row r="41" spans="1:22" x14ac:dyDescent="0.25">
      <c r="A41" s="10">
        <v>3500</v>
      </c>
      <c r="B41" s="10">
        <v>3600</v>
      </c>
      <c r="C41" s="10" t="str">
        <f>IF(AND(Rekentool!$E$53&gt;=A41,Rekentool!$E$53&lt;B41),"Ja","Nee")</f>
        <v>Nee</v>
      </c>
      <c r="D41" s="11">
        <v>361.35</v>
      </c>
      <c r="E41" s="11">
        <v>471.36</v>
      </c>
      <c r="F41" s="11">
        <v>471.36</v>
      </c>
      <c r="G41" s="11">
        <v>462</v>
      </c>
      <c r="H41" s="11">
        <v>439.9</v>
      </c>
      <c r="I41" s="11">
        <f>36.25*12</f>
        <v>435</v>
      </c>
      <c r="J41" s="11">
        <f t="shared" si="12"/>
        <v>348</v>
      </c>
      <c r="K41" s="11">
        <v>439.9</v>
      </c>
      <c r="L41" s="11">
        <v>330</v>
      </c>
      <c r="M41" s="11">
        <v>278.28000000000003</v>
      </c>
      <c r="N41" s="11">
        <v>278.28000000000003</v>
      </c>
      <c r="O41" s="11">
        <v>544.79999999999995</v>
      </c>
      <c r="P41" s="11">
        <v>437.04</v>
      </c>
      <c r="Q41" s="11">
        <v>410</v>
      </c>
      <c r="R41" s="11">
        <v>392</v>
      </c>
      <c r="S41" s="11">
        <v>265.89999999999998</v>
      </c>
      <c r="T41" s="11">
        <v>278.3</v>
      </c>
      <c r="U41" s="11">
        <v>278</v>
      </c>
    </row>
    <row r="42" spans="1:22" x14ac:dyDescent="0.25">
      <c r="A42" s="10">
        <v>3600</v>
      </c>
      <c r="B42" s="10">
        <v>3750</v>
      </c>
      <c r="C42" s="10" t="str">
        <f>IF(AND(Rekentool!$E$53&gt;=A42,Rekentool!$E$53&lt;B42),"Ja","Nee")</f>
        <v>Nee</v>
      </c>
      <c r="D42" s="11">
        <v>361.35</v>
      </c>
      <c r="E42" s="11">
        <v>471.36</v>
      </c>
      <c r="F42" s="11">
        <v>471.36</v>
      </c>
      <c r="G42" s="11">
        <v>462</v>
      </c>
      <c r="H42" s="11">
        <v>439.9</v>
      </c>
      <c r="I42" s="11">
        <f>36.25*12</f>
        <v>435</v>
      </c>
      <c r="J42" s="11">
        <f t="shared" si="12"/>
        <v>348</v>
      </c>
      <c r="K42" s="11">
        <v>439.9</v>
      </c>
      <c r="L42" s="11">
        <v>330</v>
      </c>
      <c r="M42" s="11">
        <v>278.28000000000003</v>
      </c>
      <c r="N42" s="11">
        <v>278.28000000000003</v>
      </c>
      <c r="O42" s="11">
        <v>544.79999999999995</v>
      </c>
      <c r="P42" s="11">
        <v>437.04</v>
      </c>
      <c r="Q42" s="11">
        <v>410</v>
      </c>
      <c r="R42" s="11">
        <v>392</v>
      </c>
      <c r="S42" s="11">
        <v>292.89999999999998</v>
      </c>
      <c r="T42" s="11">
        <v>278.3</v>
      </c>
      <c r="U42" s="11">
        <v>278</v>
      </c>
    </row>
    <row r="43" spans="1:22" x14ac:dyDescent="0.25">
      <c r="A43" s="10">
        <v>3750</v>
      </c>
      <c r="B43" s="10">
        <v>4000</v>
      </c>
      <c r="C43" s="10" t="str">
        <f>IF(AND(Rekentool!$E$53&gt;=A43,Rekentool!$E$53&lt;B43),"Ja","Nee")</f>
        <v>Nee</v>
      </c>
      <c r="D43" s="11">
        <v>361.35</v>
      </c>
      <c r="E43" s="11">
        <v>503.76</v>
      </c>
      <c r="F43" s="11">
        <v>503.76</v>
      </c>
      <c r="G43" s="11">
        <v>462</v>
      </c>
      <c r="H43" s="11">
        <v>439.9</v>
      </c>
      <c r="I43" s="11">
        <f>38.75*12</f>
        <v>465</v>
      </c>
      <c r="J43" s="11">
        <f t="shared" si="12"/>
        <v>348</v>
      </c>
      <c r="K43" s="11">
        <v>439.9</v>
      </c>
      <c r="L43" s="11">
        <v>330</v>
      </c>
      <c r="M43" s="11">
        <v>278.28000000000003</v>
      </c>
      <c r="N43" s="11">
        <v>278.28000000000003</v>
      </c>
      <c r="O43" s="11">
        <v>544.79999999999995</v>
      </c>
      <c r="P43" s="11">
        <v>437.04</v>
      </c>
      <c r="Q43" s="11">
        <v>410</v>
      </c>
      <c r="R43" s="11">
        <v>392</v>
      </c>
      <c r="S43" s="11">
        <v>292.89999999999998</v>
      </c>
      <c r="T43" s="11">
        <v>278.3</v>
      </c>
      <c r="U43" s="11">
        <v>278</v>
      </c>
    </row>
    <row r="44" spans="1:22" x14ac:dyDescent="0.25">
      <c r="A44" s="10">
        <v>4000</v>
      </c>
      <c r="B44" s="10">
        <v>4250</v>
      </c>
      <c r="C44" s="10" t="str">
        <f>IF(AND(Rekentool!$E$53&gt;=A44,Rekentool!$E$53&lt;B44),"Ja","Nee")</f>
        <v>Nee</v>
      </c>
      <c r="D44" s="11">
        <f>40.26*12</f>
        <v>483.12</v>
      </c>
      <c r="E44" s="11">
        <v>536.28</v>
      </c>
      <c r="F44" s="11">
        <v>536.28</v>
      </c>
      <c r="G44" s="11">
        <v>524</v>
      </c>
      <c r="H44" s="11">
        <v>624.88</v>
      </c>
      <c r="I44" s="11">
        <f>38.75*12</f>
        <v>465</v>
      </c>
      <c r="J44" s="11">
        <f>37.5*12</f>
        <v>450</v>
      </c>
      <c r="K44" s="11">
        <v>624.88</v>
      </c>
      <c r="L44" s="11">
        <v>432</v>
      </c>
      <c r="M44" s="11">
        <v>314.64</v>
      </c>
      <c r="N44" s="11">
        <v>314.64</v>
      </c>
      <c r="O44" s="11">
        <v>602.40000000000009</v>
      </c>
      <c r="P44" s="11">
        <v>494.52</v>
      </c>
      <c r="Q44" s="11">
        <v>470</v>
      </c>
      <c r="R44" s="11">
        <v>509</v>
      </c>
      <c r="S44" s="11">
        <v>327.60000000000002</v>
      </c>
      <c r="T44" s="11">
        <v>314.60000000000002</v>
      </c>
      <c r="U44" s="11">
        <v>315</v>
      </c>
    </row>
    <row r="45" spans="1:22" x14ac:dyDescent="0.25">
      <c r="A45" s="10">
        <v>4250</v>
      </c>
      <c r="B45" s="10">
        <v>4500</v>
      </c>
      <c r="C45" s="10" t="str">
        <f>IF(AND(Rekentool!$E$53&gt;=A45,Rekentool!$E$53&lt;B45),"Ja","Nee")</f>
        <v>Nee</v>
      </c>
      <c r="D45" s="11">
        <f t="shared" ref="D45:D47" si="13">40.26*12</f>
        <v>483.12</v>
      </c>
      <c r="E45" s="11">
        <v>568.79999999999995</v>
      </c>
      <c r="F45" s="11">
        <v>568.79999999999995</v>
      </c>
      <c r="G45" s="11">
        <v>524</v>
      </c>
      <c r="H45" s="11">
        <v>624.88</v>
      </c>
      <c r="I45" s="11">
        <f>43.75*12</f>
        <v>525</v>
      </c>
      <c r="J45" s="11">
        <f t="shared" ref="J45:J47" si="14">37.5*12</f>
        <v>450</v>
      </c>
      <c r="K45" s="11">
        <v>624.88</v>
      </c>
      <c r="L45" s="11">
        <v>432</v>
      </c>
      <c r="M45" s="11">
        <v>314.64</v>
      </c>
      <c r="N45" s="11">
        <v>314.64</v>
      </c>
      <c r="O45" s="11">
        <v>602.40000000000009</v>
      </c>
      <c r="P45" s="11">
        <v>494.52</v>
      </c>
      <c r="Q45" s="11">
        <v>470</v>
      </c>
      <c r="R45" s="11">
        <v>509</v>
      </c>
      <c r="S45" s="11">
        <v>327.60000000000002</v>
      </c>
      <c r="T45" s="11">
        <v>314.60000000000002</v>
      </c>
      <c r="U45" s="11">
        <v>315</v>
      </c>
    </row>
    <row r="46" spans="1:22" x14ac:dyDescent="0.25">
      <c r="A46" s="10">
        <v>4500</v>
      </c>
      <c r="B46" s="10">
        <v>4750</v>
      </c>
      <c r="C46" s="10" t="str">
        <f>IF(AND(Rekentool!$E$53&gt;=A46,Rekentool!$E$53&lt;B46),"Ja","Nee")</f>
        <v>Nee</v>
      </c>
      <c r="D46" s="11">
        <f t="shared" si="13"/>
        <v>483.12</v>
      </c>
      <c r="E46" s="11">
        <v>601.31999999999994</v>
      </c>
      <c r="F46" s="11">
        <v>601.31999999999994</v>
      </c>
      <c r="G46" s="11">
        <v>586</v>
      </c>
      <c r="H46" s="11">
        <v>624.88</v>
      </c>
      <c r="I46" s="11">
        <f>43.75*12</f>
        <v>525</v>
      </c>
      <c r="J46" s="11">
        <f t="shared" si="14"/>
        <v>450</v>
      </c>
      <c r="K46" s="11">
        <v>624.88</v>
      </c>
      <c r="L46" s="11">
        <v>432</v>
      </c>
      <c r="M46" s="11">
        <v>350.88</v>
      </c>
      <c r="N46" s="11">
        <v>350.88</v>
      </c>
      <c r="O46" s="11">
        <v>659.88</v>
      </c>
      <c r="P46" s="11">
        <v>552</v>
      </c>
      <c r="Q46" s="11">
        <v>520</v>
      </c>
      <c r="R46" s="11">
        <v>509</v>
      </c>
      <c r="S46" s="11">
        <v>366.1</v>
      </c>
      <c r="T46" s="11">
        <v>350.9</v>
      </c>
      <c r="U46" s="11">
        <v>351</v>
      </c>
    </row>
    <row r="47" spans="1:22" x14ac:dyDescent="0.25">
      <c r="A47" s="10">
        <v>4750</v>
      </c>
      <c r="B47" s="10">
        <v>5000</v>
      </c>
      <c r="C47" s="10" t="str">
        <f>IF(AND(Rekentool!$E$53&gt;=A47,Rekentool!$E$53&lt;B47),"Ja","Nee")</f>
        <v>Nee</v>
      </c>
      <c r="D47" s="11">
        <f t="shared" si="13"/>
        <v>483.12</v>
      </c>
      <c r="E47" s="11">
        <f>52.82*12</f>
        <v>633.84</v>
      </c>
      <c r="F47" s="11">
        <v>633.84</v>
      </c>
      <c r="G47" s="11">
        <v>586</v>
      </c>
      <c r="H47" s="11">
        <v>624.88</v>
      </c>
      <c r="I47" s="11">
        <f>48.75*12</f>
        <v>585</v>
      </c>
      <c r="J47" s="11">
        <f t="shared" si="14"/>
        <v>450</v>
      </c>
      <c r="K47" s="11">
        <v>624.88</v>
      </c>
      <c r="L47" s="11">
        <v>432</v>
      </c>
      <c r="M47" s="11">
        <v>350.88</v>
      </c>
      <c r="N47" s="11">
        <v>350.88</v>
      </c>
      <c r="O47" s="11">
        <v>659.88</v>
      </c>
      <c r="P47" s="11">
        <v>552</v>
      </c>
      <c r="Q47" s="11">
        <v>520</v>
      </c>
      <c r="R47" s="11">
        <v>509</v>
      </c>
      <c r="S47" s="11">
        <v>366.1</v>
      </c>
      <c r="T47" s="11">
        <v>350.9</v>
      </c>
      <c r="U47" s="11">
        <v>251</v>
      </c>
    </row>
    <row r="48" spans="1:22" x14ac:dyDescent="0.25">
      <c r="A48" s="10">
        <v>5000</v>
      </c>
      <c r="B48" s="10">
        <v>5250</v>
      </c>
      <c r="C48" s="10" t="str">
        <f>IF(AND(Rekentool!$E$53&gt;=A48,Rekentool!$E$53&lt;B48),"Ja","Nee")</f>
        <v>Nee</v>
      </c>
      <c r="D48" s="11">
        <f>55.2*12</f>
        <v>662.40000000000009</v>
      </c>
      <c r="E48" s="11">
        <v>666.12</v>
      </c>
      <c r="F48" s="11">
        <v>666.12</v>
      </c>
      <c r="G48" s="11">
        <v>647</v>
      </c>
      <c r="H48" s="11">
        <v>1087.3499999999999</v>
      </c>
      <c r="I48" s="11">
        <f>48.75*12</f>
        <v>585</v>
      </c>
      <c r="J48" s="11">
        <f>55*12</f>
        <v>660</v>
      </c>
      <c r="K48" s="11">
        <v>1087.3499999999999</v>
      </c>
      <c r="L48" s="11">
        <v>534</v>
      </c>
      <c r="M48" s="11">
        <v>387.12</v>
      </c>
      <c r="N48" s="11">
        <v>387.12</v>
      </c>
      <c r="O48" s="11">
        <v>1158.48</v>
      </c>
      <c r="P48" s="11">
        <v>1050.5999999999999</v>
      </c>
      <c r="Q48" s="11">
        <v>605</v>
      </c>
      <c r="R48" s="11">
        <v>692</v>
      </c>
      <c r="S48" s="11">
        <v>423.9</v>
      </c>
      <c r="T48" s="11">
        <v>387.2</v>
      </c>
      <c r="U48" s="11">
        <v>387</v>
      </c>
    </row>
    <row r="49" spans="1:22" x14ac:dyDescent="0.25">
      <c r="A49" s="10">
        <v>5250</v>
      </c>
      <c r="B49" s="10">
        <v>5500</v>
      </c>
      <c r="C49" s="10" t="str">
        <f>IF(AND(Rekentool!$E$53&gt;=A49,Rekentool!$E$53&lt;B49),"Ja","Nee")</f>
        <v>Nee</v>
      </c>
      <c r="D49" s="11">
        <f t="shared" ref="D49:D57" si="15">55.2*12</f>
        <v>662.40000000000009</v>
      </c>
      <c r="E49" s="11">
        <v>698.76</v>
      </c>
      <c r="F49" s="11">
        <v>698.76</v>
      </c>
      <c r="G49" s="11">
        <v>647</v>
      </c>
      <c r="H49" s="11">
        <v>1087.3499999999999</v>
      </c>
      <c r="I49" s="11">
        <f>53.75*12</f>
        <v>645</v>
      </c>
      <c r="J49" s="11">
        <f t="shared" ref="J49:J112" si="16">55*12</f>
        <v>660</v>
      </c>
      <c r="K49" s="11">
        <v>1087.3499999999999</v>
      </c>
      <c r="L49" s="11">
        <v>534</v>
      </c>
      <c r="M49" s="11">
        <v>387.12</v>
      </c>
      <c r="N49" s="11">
        <v>387.12</v>
      </c>
      <c r="O49" s="11">
        <v>1158.48</v>
      </c>
      <c r="P49" s="11">
        <v>1050.5999999999999</v>
      </c>
      <c r="Q49" s="11">
        <v>605</v>
      </c>
      <c r="R49" s="11">
        <v>692</v>
      </c>
      <c r="S49" s="11">
        <v>423.9</v>
      </c>
      <c r="T49" s="11">
        <v>387.2</v>
      </c>
      <c r="U49" s="11">
        <v>387</v>
      </c>
    </row>
    <row r="50" spans="1:22" x14ac:dyDescent="0.25">
      <c r="A50" s="10">
        <v>5500</v>
      </c>
      <c r="B50" s="10">
        <v>5750</v>
      </c>
      <c r="C50" s="10" t="str">
        <f>IF(AND(Rekentool!$E$53&gt;=A50,Rekentool!$E$53&lt;B50),"Ja","Nee")</f>
        <v>Nee</v>
      </c>
      <c r="D50" s="11">
        <f t="shared" si="15"/>
        <v>662.40000000000009</v>
      </c>
      <c r="E50" s="11">
        <v>731.28</v>
      </c>
      <c r="F50" s="11">
        <v>731.28</v>
      </c>
      <c r="G50" s="11">
        <v>709</v>
      </c>
      <c r="H50" s="11">
        <v>1087.3499999999999</v>
      </c>
      <c r="I50" s="11">
        <f>56.25*12</f>
        <v>675</v>
      </c>
      <c r="J50" s="11">
        <f t="shared" si="16"/>
        <v>660</v>
      </c>
      <c r="K50" s="11">
        <v>1087.3499999999999</v>
      </c>
      <c r="L50" s="11">
        <v>534</v>
      </c>
      <c r="M50" s="11">
        <v>423.36</v>
      </c>
      <c r="N50" s="11">
        <v>423.36</v>
      </c>
      <c r="O50" s="11">
        <v>1158.48</v>
      </c>
      <c r="P50" s="11">
        <v>1050.5999999999999</v>
      </c>
      <c r="Q50" s="11">
        <v>605</v>
      </c>
      <c r="R50" s="11">
        <v>692</v>
      </c>
      <c r="S50" s="11">
        <v>423.9</v>
      </c>
      <c r="T50" s="11">
        <v>423.5</v>
      </c>
      <c r="U50" s="11">
        <v>424</v>
      </c>
      <c r="V50" s="19"/>
    </row>
    <row r="51" spans="1:22" x14ac:dyDescent="0.25">
      <c r="A51" s="10">
        <v>5750</v>
      </c>
      <c r="B51" s="10">
        <v>6000</v>
      </c>
      <c r="C51" s="10" t="str">
        <f>IF(AND(Rekentool!$E$53&gt;=A51,Rekentool!$E$53&lt;B51),"Ja","Nee")</f>
        <v>Nee</v>
      </c>
      <c r="D51" s="11">
        <f t="shared" si="15"/>
        <v>662.40000000000009</v>
      </c>
      <c r="E51" s="11">
        <v>763.8</v>
      </c>
      <c r="F51" s="11">
        <v>763.8</v>
      </c>
      <c r="G51" s="11">
        <v>709</v>
      </c>
      <c r="H51" s="11">
        <v>1087.3499999999999</v>
      </c>
      <c r="I51" s="11">
        <f>58.75*12</f>
        <v>705</v>
      </c>
      <c r="J51" s="11">
        <f t="shared" si="16"/>
        <v>660</v>
      </c>
      <c r="K51" s="11">
        <v>1087.3499999999999</v>
      </c>
      <c r="L51" s="11">
        <v>534</v>
      </c>
      <c r="M51" s="11">
        <v>423.36</v>
      </c>
      <c r="N51" s="11">
        <v>423.36</v>
      </c>
      <c r="O51" s="11">
        <v>1158.48</v>
      </c>
      <c r="P51" s="11">
        <v>1050.5999999999999</v>
      </c>
      <c r="Q51" s="11">
        <v>605</v>
      </c>
      <c r="R51" s="11">
        <v>692</v>
      </c>
      <c r="S51" s="11">
        <v>423.9</v>
      </c>
      <c r="T51" s="11">
        <v>423.5</v>
      </c>
      <c r="U51" s="11">
        <v>424</v>
      </c>
      <c r="V51" s="19"/>
    </row>
    <row r="52" spans="1:22" x14ac:dyDescent="0.25">
      <c r="A52" s="10">
        <v>6000</v>
      </c>
      <c r="B52" s="10">
        <v>6250</v>
      </c>
      <c r="C52" s="10" t="str">
        <f>IF(AND(Rekentool!$E$53&gt;=A52,Rekentool!$E$53&lt;B52),"Ja","Nee")</f>
        <v>Nee</v>
      </c>
      <c r="D52" s="11">
        <f t="shared" si="15"/>
        <v>662.40000000000009</v>
      </c>
      <c r="E52" s="11">
        <f>66.36*12</f>
        <v>796.31999999999994</v>
      </c>
      <c r="F52" s="11">
        <f>66.36*12</f>
        <v>796.31999999999994</v>
      </c>
      <c r="G52" s="11">
        <v>771</v>
      </c>
      <c r="H52" s="11">
        <v>1087.3499999999999</v>
      </c>
      <c r="I52" s="11">
        <f>61.25*12</f>
        <v>735</v>
      </c>
      <c r="J52" s="11">
        <f t="shared" si="16"/>
        <v>660</v>
      </c>
      <c r="K52" s="11">
        <v>1087.3499999999999</v>
      </c>
      <c r="L52" s="11">
        <v>534</v>
      </c>
      <c r="M52" s="11">
        <v>459.6</v>
      </c>
      <c r="N52" s="11">
        <v>459.6</v>
      </c>
      <c r="O52" s="11">
        <v>1346.04</v>
      </c>
      <c r="P52" s="11">
        <v>1238.28</v>
      </c>
      <c r="Q52" s="11">
        <v>715</v>
      </c>
      <c r="R52" s="11">
        <v>692</v>
      </c>
      <c r="S52" s="11">
        <v>520.29999999999995</v>
      </c>
      <c r="T52" s="11">
        <v>459.8</v>
      </c>
      <c r="U52" s="11">
        <v>460</v>
      </c>
      <c r="V52" s="19"/>
    </row>
    <row r="53" spans="1:22" x14ac:dyDescent="0.25">
      <c r="A53" s="10">
        <v>6250</v>
      </c>
      <c r="B53" s="10">
        <v>6500</v>
      </c>
      <c r="C53" s="10" t="str">
        <f>IF(AND(Rekentool!$E$53&gt;=A53,Rekentool!$E$53&lt;B53),"Ja","Nee")</f>
        <v>Nee</v>
      </c>
      <c r="D53" s="11">
        <f t="shared" si="15"/>
        <v>662.40000000000009</v>
      </c>
      <c r="E53" s="11">
        <f>69.07*12</f>
        <v>828.83999999999992</v>
      </c>
      <c r="F53" s="11">
        <f>69.07*12</f>
        <v>828.83999999999992</v>
      </c>
      <c r="G53" s="11">
        <v>771</v>
      </c>
      <c r="H53" s="11">
        <v>1087.3499999999999</v>
      </c>
      <c r="I53" s="11">
        <f>63.75*12</f>
        <v>765</v>
      </c>
      <c r="J53" s="11">
        <f t="shared" si="16"/>
        <v>660</v>
      </c>
      <c r="K53" s="11">
        <v>1087.3499999999999</v>
      </c>
      <c r="L53" s="11">
        <v>534</v>
      </c>
      <c r="M53" s="11">
        <v>459.6</v>
      </c>
      <c r="N53" s="11">
        <v>459.6</v>
      </c>
      <c r="O53" s="11">
        <v>1346.04</v>
      </c>
      <c r="P53" s="11">
        <v>1238.28</v>
      </c>
      <c r="Q53" s="11">
        <v>715</v>
      </c>
      <c r="R53" s="11">
        <v>692</v>
      </c>
      <c r="S53" s="11">
        <v>520.29999999999995</v>
      </c>
      <c r="T53" s="11">
        <v>459.8</v>
      </c>
      <c r="U53" s="11">
        <v>470</v>
      </c>
      <c r="V53" s="19"/>
    </row>
    <row r="54" spans="1:22" x14ac:dyDescent="0.25">
      <c r="A54" s="10">
        <v>6500</v>
      </c>
      <c r="B54" s="10">
        <v>6750</v>
      </c>
      <c r="C54" s="10" t="str">
        <f>IF(AND(Rekentool!$E$53&gt;=A54,Rekentool!$E$53&lt;B54),"Ja","Nee")</f>
        <v>Nee</v>
      </c>
      <c r="D54" s="11">
        <f t="shared" si="15"/>
        <v>662.40000000000009</v>
      </c>
      <c r="E54" s="11">
        <f>71.77*12</f>
        <v>861.24</v>
      </c>
      <c r="F54" s="11">
        <f>71.77*12</f>
        <v>861.24</v>
      </c>
      <c r="G54" s="11">
        <v>833</v>
      </c>
      <c r="H54" s="11">
        <v>1087.3499999999999</v>
      </c>
      <c r="I54" s="11">
        <f>66.25*12</f>
        <v>795</v>
      </c>
      <c r="J54" s="11">
        <f t="shared" si="16"/>
        <v>660</v>
      </c>
      <c r="K54" s="11">
        <v>1087.3499999999999</v>
      </c>
      <c r="L54" s="11">
        <v>534</v>
      </c>
      <c r="M54" s="11">
        <v>495.84000000000003</v>
      </c>
      <c r="N54" s="11">
        <v>495.84000000000003</v>
      </c>
      <c r="O54" s="11">
        <v>1346.04</v>
      </c>
      <c r="P54" s="11">
        <v>1238.28</v>
      </c>
      <c r="Q54" s="11">
        <v>715</v>
      </c>
      <c r="R54" s="11">
        <v>692</v>
      </c>
      <c r="S54" s="11">
        <v>520.29999999999995</v>
      </c>
      <c r="T54" s="11">
        <v>496.1</v>
      </c>
      <c r="U54" s="11">
        <v>496</v>
      </c>
      <c r="V54" s="19"/>
    </row>
    <row r="55" spans="1:22" x14ac:dyDescent="0.25">
      <c r="A55" s="10">
        <v>6750</v>
      </c>
      <c r="B55" s="10">
        <v>7000</v>
      </c>
      <c r="C55" s="10" t="str">
        <f>IF(AND(Rekentool!$E$53&gt;=A55,Rekentool!$E$53&lt;B55),"Ja","Nee")</f>
        <v>Nee</v>
      </c>
      <c r="D55" s="11">
        <f t="shared" si="15"/>
        <v>662.40000000000009</v>
      </c>
      <c r="E55" s="11">
        <f>74.48*12</f>
        <v>893.76</v>
      </c>
      <c r="F55" s="11">
        <f>74.48*12</f>
        <v>893.76</v>
      </c>
      <c r="G55" s="11">
        <v>833</v>
      </c>
      <c r="H55" s="11">
        <v>1087.3499999999999</v>
      </c>
      <c r="I55" s="11">
        <f>68.75*12</f>
        <v>825</v>
      </c>
      <c r="J55" s="11">
        <f t="shared" si="16"/>
        <v>660</v>
      </c>
      <c r="K55" s="11">
        <v>1087.3499999999999</v>
      </c>
      <c r="L55" s="11">
        <v>534</v>
      </c>
      <c r="M55" s="11">
        <v>495.84000000000003</v>
      </c>
      <c r="N55" s="11">
        <v>495.84000000000003</v>
      </c>
      <c r="O55" s="11">
        <v>1346.04</v>
      </c>
      <c r="P55" s="11">
        <v>1238.28</v>
      </c>
      <c r="Q55" s="11">
        <v>715</v>
      </c>
      <c r="R55" s="11">
        <v>692</v>
      </c>
      <c r="S55" s="11">
        <v>520.29999999999995</v>
      </c>
      <c r="T55" s="11">
        <v>496.1</v>
      </c>
      <c r="U55" s="11">
        <v>496</v>
      </c>
      <c r="V55" s="19"/>
    </row>
    <row r="56" spans="1:22" x14ac:dyDescent="0.25">
      <c r="A56" s="10">
        <v>7000</v>
      </c>
      <c r="B56" s="10">
        <v>7250</v>
      </c>
      <c r="C56" s="10" t="str">
        <f>IF(AND(Rekentool!$E$53&gt;=A56,Rekentool!$E$53&lt;B56),"Ja","Nee")</f>
        <v>Nee</v>
      </c>
      <c r="D56" s="11">
        <f t="shared" si="15"/>
        <v>662.40000000000009</v>
      </c>
      <c r="E56" s="11">
        <f>77.19*12</f>
        <v>926.28</v>
      </c>
      <c r="F56" s="11">
        <f>77.19*12</f>
        <v>926.28</v>
      </c>
      <c r="G56" s="11">
        <v>894</v>
      </c>
      <c r="H56" s="11">
        <v>1087.3499999999999</v>
      </c>
      <c r="I56" s="11">
        <f>71.25*12</f>
        <v>855</v>
      </c>
      <c r="J56" s="11">
        <f t="shared" si="16"/>
        <v>660</v>
      </c>
      <c r="K56" s="11">
        <v>1087.3499999999999</v>
      </c>
      <c r="L56" s="11">
        <v>534</v>
      </c>
      <c r="M56" s="11">
        <v>532.08000000000004</v>
      </c>
      <c r="N56" s="11">
        <v>532.08000000000004</v>
      </c>
      <c r="O56" s="11">
        <v>1533.6</v>
      </c>
      <c r="P56" s="11">
        <v>1425.84</v>
      </c>
      <c r="Q56" s="11">
        <v>825</v>
      </c>
      <c r="R56" s="11">
        <v>692</v>
      </c>
      <c r="S56" s="11">
        <v>520.29999999999995</v>
      </c>
      <c r="T56" s="11">
        <v>532.4</v>
      </c>
      <c r="U56" s="11">
        <v>532</v>
      </c>
      <c r="V56" s="19"/>
    </row>
    <row r="57" spans="1:22" x14ac:dyDescent="0.25">
      <c r="A57" s="10">
        <v>7250</v>
      </c>
      <c r="B57" s="10">
        <v>7500</v>
      </c>
      <c r="C57" s="10" t="str">
        <f>IF(AND(Rekentool!$E$53&gt;=A57,Rekentool!$E$53&lt;B57),"Ja","Nee")</f>
        <v>Nee</v>
      </c>
      <c r="D57" s="11">
        <f t="shared" si="15"/>
        <v>662.40000000000009</v>
      </c>
      <c r="E57" s="11">
        <f>79.9*12</f>
        <v>958.80000000000007</v>
      </c>
      <c r="F57" s="11">
        <f>79.9*12</f>
        <v>958.80000000000007</v>
      </c>
      <c r="G57" s="11">
        <v>894</v>
      </c>
      <c r="H57" s="11">
        <v>1087.3499999999999</v>
      </c>
      <c r="I57" s="11">
        <f>73.75*12</f>
        <v>885</v>
      </c>
      <c r="J57" s="11">
        <f t="shared" si="16"/>
        <v>660</v>
      </c>
      <c r="K57" s="11">
        <v>1087.3499999999999</v>
      </c>
      <c r="L57" s="11">
        <v>534</v>
      </c>
      <c r="M57" s="11">
        <v>532.08000000000004</v>
      </c>
      <c r="N57" s="11">
        <v>532.08000000000004</v>
      </c>
      <c r="O57" s="11">
        <v>1533.6</v>
      </c>
      <c r="P57" s="11">
        <v>1425.84</v>
      </c>
      <c r="Q57" s="11">
        <v>825</v>
      </c>
      <c r="R57" s="11">
        <v>692</v>
      </c>
      <c r="S57" s="11">
        <v>520.29999999999995</v>
      </c>
      <c r="T57" s="11">
        <v>532.4</v>
      </c>
      <c r="U57" s="11">
        <v>532</v>
      </c>
      <c r="V57" s="19"/>
    </row>
    <row r="58" spans="1:22" x14ac:dyDescent="0.25">
      <c r="A58" s="10">
        <v>7500</v>
      </c>
      <c r="B58" s="10">
        <v>7750</v>
      </c>
      <c r="C58" s="10" t="str">
        <f>IF(AND(Rekentool!$E$53&gt;=A58,Rekentool!$E$53&lt;B58),"Ja","Nee")</f>
        <v>Nee</v>
      </c>
      <c r="D58" s="11">
        <f>75.33*12</f>
        <v>903.96</v>
      </c>
      <c r="E58" s="11">
        <f>82.61*12</f>
        <v>991.31999999999994</v>
      </c>
      <c r="F58" s="11">
        <f>82.61*12</f>
        <v>991.31999999999994</v>
      </c>
      <c r="G58" s="11">
        <v>956</v>
      </c>
      <c r="H58" s="11">
        <v>1499.86</v>
      </c>
      <c r="I58" s="11">
        <f>76.25*12</f>
        <v>915</v>
      </c>
      <c r="J58" s="11">
        <f t="shared" si="16"/>
        <v>660</v>
      </c>
      <c r="K58" s="11">
        <v>1499.86</v>
      </c>
      <c r="L58" s="11">
        <v>534</v>
      </c>
      <c r="M58" s="11">
        <v>350.88</v>
      </c>
      <c r="N58" s="11">
        <v>350.88</v>
      </c>
      <c r="O58" s="11">
        <v>1533.6</v>
      </c>
      <c r="P58" s="11">
        <v>1425.84</v>
      </c>
      <c r="Q58" s="11">
        <v>825</v>
      </c>
      <c r="R58" s="11">
        <v>951</v>
      </c>
      <c r="S58" s="11">
        <v>674.5</v>
      </c>
      <c r="T58" s="11">
        <v>568.70000000000005</v>
      </c>
      <c r="U58" s="11">
        <v>569</v>
      </c>
      <c r="V58" s="19"/>
    </row>
    <row r="59" spans="1:22" x14ac:dyDescent="0.25">
      <c r="A59" s="10">
        <v>7750</v>
      </c>
      <c r="B59" s="10">
        <v>8000</v>
      </c>
      <c r="C59" s="10" t="str">
        <f>IF(AND(Rekentool!$E$53&gt;=A59,Rekentool!$E$53&lt;B59),"Ja","Nee")</f>
        <v>Nee</v>
      </c>
      <c r="D59" s="11">
        <f t="shared" ref="D59:D67" si="17">75.33*12</f>
        <v>903.96</v>
      </c>
      <c r="E59" s="11">
        <f>85.32*12</f>
        <v>1023.8399999999999</v>
      </c>
      <c r="F59" s="11">
        <f>85.32*12</f>
        <v>1023.8399999999999</v>
      </c>
      <c r="G59" s="11">
        <v>956</v>
      </c>
      <c r="H59" s="11">
        <v>1499.86</v>
      </c>
      <c r="I59" s="11">
        <f>78.75*12</f>
        <v>945</v>
      </c>
      <c r="J59" s="11">
        <f t="shared" si="16"/>
        <v>660</v>
      </c>
      <c r="K59" s="11">
        <v>1499.86</v>
      </c>
      <c r="L59" s="11">
        <v>534</v>
      </c>
      <c r="M59" s="11">
        <v>350.88</v>
      </c>
      <c r="N59" s="11">
        <v>350.88</v>
      </c>
      <c r="O59" s="11">
        <v>1533.6</v>
      </c>
      <c r="P59" s="11">
        <v>1425.84</v>
      </c>
      <c r="Q59" s="11">
        <v>825</v>
      </c>
      <c r="R59" s="11">
        <v>951</v>
      </c>
      <c r="S59" s="11">
        <v>674.5</v>
      </c>
      <c r="T59" s="11">
        <v>568.70000000000005</v>
      </c>
      <c r="U59" s="11">
        <v>569</v>
      </c>
      <c r="V59" s="19"/>
    </row>
    <row r="60" spans="1:22" x14ac:dyDescent="0.25">
      <c r="A60" s="10">
        <v>8000</v>
      </c>
      <c r="B60" s="10">
        <v>8250</v>
      </c>
      <c r="C60" s="10" t="str">
        <f>IF(AND(Rekentool!$E$53&gt;=A60,Rekentool!$E$53&lt;B60),"Ja","Nee")</f>
        <v>Nee</v>
      </c>
      <c r="D60" s="11">
        <f t="shared" si="17"/>
        <v>903.96</v>
      </c>
      <c r="E60" s="11">
        <f>88.02*12</f>
        <v>1056.24</v>
      </c>
      <c r="F60" s="11">
        <f>88.02*12</f>
        <v>1056.24</v>
      </c>
      <c r="G60" s="11">
        <v>1018</v>
      </c>
      <c r="H60" s="11">
        <v>1499.86</v>
      </c>
      <c r="I60" s="11">
        <f>81.25*12</f>
        <v>975</v>
      </c>
      <c r="J60" s="11">
        <f t="shared" si="16"/>
        <v>660</v>
      </c>
      <c r="K60" s="11">
        <v>1499.86</v>
      </c>
      <c r="L60" s="11">
        <v>534</v>
      </c>
      <c r="M60" s="11">
        <v>387.12</v>
      </c>
      <c r="N60" s="11">
        <v>387.12</v>
      </c>
      <c r="O60" s="11">
        <v>1721.28</v>
      </c>
      <c r="P60" s="11">
        <v>1613.3999999999999</v>
      </c>
      <c r="Q60" s="11">
        <v>935</v>
      </c>
      <c r="R60" s="11">
        <v>951</v>
      </c>
      <c r="S60" s="11">
        <v>674.5</v>
      </c>
      <c r="T60" s="11">
        <v>605</v>
      </c>
      <c r="U60" s="11">
        <v>605</v>
      </c>
      <c r="V60" s="19"/>
    </row>
    <row r="61" spans="1:22" x14ac:dyDescent="0.25">
      <c r="A61" s="10">
        <v>8250</v>
      </c>
      <c r="B61" s="10">
        <v>8500</v>
      </c>
      <c r="C61" s="10" t="str">
        <f>IF(AND(Rekentool!$E$53&gt;=A61,Rekentool!$E$53&lt;B61),"Ja","Nee")</f>
        <v>Nee</v>
      </c>
      <c r="D61" s="11">
        <f t="shared" si="17"/>
        <v>903.96</v>
      </c>
      <c r="E61" s="11">
        <f>90.73*12</f>
        <v>1088.76</v>
      </c>
      <c r="F61" s="11">
        <f>90.73*12</f>
        <v>1088.76</v>
      </c>
      <c r="G61" s="11">
        <v>1018</v>
      </c>
      <c r="H61" s="11">
        <v>1499.86</v>
      </c>
      <c r="I61" s="11">
        <f>83.75*12</f>
        <v>1005</v>
      </c>
      <c r="J61" s="11">
        <f t="shared" si="16"/>
        <v>660</v>
      </c>
      <c r="K61" s="11">
        <v>1499.86</v>
      </c>
      <c r="L61" s="11">
        <v>534</v>
      </c>
      <c r="M61" s="11">
        <v>387.12</v>
      </c>
      <c r="N61" s="11">
        <v>387.12</v>
      </c>
      <c r="O61" s="11">
        <v>1721.28</v>
      </c>
      <c r="P61" s="11">
        <v>1613.3999999999999</v>
      </c>
      <c r="Q61" s="11">
        <v>935</v>
      </c>
      <c r="R61" s="11">
        <v>951</v>
      </c>
      <c r="S61" s="11">
        <v>674.5</v>
      </c>
      <c r="T61" s="11">
        <v>605</v>
      </c>
      <c r="U61" s="11">
        <v>605</v>
      </c>
      <c r="V61" s="19"/>
    </row>
    <row r="62" spans="1:22" x14ac:dyDescent="0.25">
      <c r="A62" s="10">
        <v>8500</v>
      </c>
      <c r="B62" s="10">
        <v>8750</v>
      </c>
      <c r="C62" s="10" t="str">
        <f>IF(AND(Rekentool!$E$53&gt;=A62,Rekentool!$E$53&lt;B62),"Ja","Nee")</f>
        <v>Nee</v>
      </c>
      <c r="D62" s="11">
        <f t="shared" si="17"/>
        <v>903.96</v>
      </c>
      <c r="E62" s="11">
        <f>93.44*12</f>
        <v>1121.28</v>
      </c>
      <c r="F62" s="11">
        <f>93.44*12</f>
        <v>1121.28</v>
      </c>
      <c r="G62" s="11">
        <v>1080</v>
      </c>
      <c r="H62" s="11">
        <v>1499.86</v>
      </c>
      <c r="I62" s="11">
        <f>86.25*12</f>
        <v>1035</v>
      </c>
      <c r="J62" s="11">
        <f t="shared" si="16"/>
        <v>660</v>
      </c>
      <c r="K62" s="11">
        <v>1499.86</v>
      </c>
      <c r="L62" s="11">
        <v>534</v>
      </c>
      <c r="M62" s="11">
        <v>423.36</v>
      </c>
      <c r="N62" s="11">
        <v>423.36</v>
      </c>
      <c r="O62" s="11">
        <v>1721.28</v>
      </c>
      <c r="P62" s="11">
        <v>1613.3999999999999</v>
      </c>
      <c r="Q62" s="11">
        <v>935</v>
      </c>
      <c r="R62" s="11">
        <v>951</v>
      </c>
      <c r="S62" s="11">
        <v>674.5</v>
      </c>
      <c r="T62" s="11">
        <v>641.29</v>
      </c>
      <c r="U62" s="11">
        <v>641</v>
      </c>
      <c r="V62" s="19"/>
    </row>
    <row r="63" spans="1:22" x14ac:dyDescent="0.25">
      <c r="A63" s="10">
        <v>8750</v>
      </c>
      <c r="B63" s="10">
        <v>9000</v>
      </c>
      <c r="C63" s="10" t="str">
        <f>IF(AND(Rekentool!$E$53&gt;=A63,Rekentool!$E$53&lt;B63),"Ja","Nee")</f>
        <v>Nee</v>
      </c>
      <c r="D63" s="11">
        <f t="shared" si="17"/>
        <v>903.96</v>
      </c>
      <c r="E63" s="11">
        <f>96.15*12</f>
        <v>1153.8000000000002</v>
      </c>
      <c r="F63" s="11">
        <f>96.15*12</f>
        <v>1153.8000000000002</v>
      </c>
      <c r="G63" s="11">
        <v>1080</v>
      </c>
      <c r="H63" s="11">
        <v>1499.86</v>
      </c>
      <c r="I63" s="11">
        <f>88.75*12</f>
        <v>1065</v>
      </c>
      <c r="J63" s="11">
        <f t="shared" si="16"/>
        <v>660</v>
      </c>
      <c r="K63" s="11">
        <v>1499.86</v>
      </c>
      <c r="L63" s="11">
        <v>534</v>
      </c>
      <c r="M63" s="11">
        <v>423.36</v>
      </c>
      <c r="N63" s="11">
        <v>423.36</v>
      </c>
      <c r="O63" s="11">
        <v>1721.28</v>
      </c>
      <c r="P63" s="11">
        <v>1613.3999999999999</v>
      </c>
      <c r="Q63" s="11">
        <v>935</v>
      </c>
      <c r="R63" s="11">
        <v>951</v>
      </c>
      <c r="S63" s="11">
        <v>674.5</v>
      </c>
      <c r="T63" s="11">
        <v>641.29</v>
      </c>
      <c r="U63" s="11">
        <v>641</v>
      </c>
      <c r="V63" s="19"/>
    </row>
    <row r="64" spans="1:22" x14ac:dyDescent="0.25">
      <c r="A64" s="10">
        <v>9000</v>
      </c>
      <c r="B64" s="10">
        <v>9250</v>
      </c>
      <c r="C64" s="10" t="str">
        <f>IF(AND(Rekentool!$E$53&gt;=A64,Rekentool!$E$53&lt;B64),"Ja","Nee")</f>
        <v>Nee</v>
      </c>
      <c r="D64" s="11">
        <f t="shared" si="17"/>
        <v>903.96</v>
      </c>
      <c r="E64" s="11">
        <f>98.86*12</f>
        <v>1186.32</v>
      </c>
      <c r="F64" s="11">
        <f>98.86*12</f>
        <v>1186.32</v>
      </c>
      <c r="G64" s="11">
        <v>1142</v>
      </c>
      <c r="H64" s="11">
        <v>1499.86</v>
      </c>
      <c r="I64" s="11">
        <f>91.25*12</f>
        <v>1095</v>
      </c>
      <c r="J64" s="11">
        <f t="shared" si="16"/>
        <v>660</v>
      </c>
      <c r="K64" s="11">
        <v>1499.86</v>
      </c>
      <c r="L64" s="11">
        <v>534</v>
      </c>
      <c r="M64" s="11">
        <v>459.6</v>
      </c>
      <c r="N64" s="11">
        <v>459.6</v>
      </c>
      <c r="O64" s="11">
        <v>1908.84</v>
      </c>
      <c r="P64" s="11">
        <v>1801.08</v>
      </c>
      <c r="Q64" s="11">
        <v>1045</v>
      </c>
      <c r="R64" s="11">
        <v>951</v>
      </c>
      <c r="S64" s="11">
        <v>674.5</v>
      </c>
      <c r="T64" s="11">
        <v>677.59</v>
      </c>
      <c r="U64" s="11">
        <v>678</v>
      </c>
      <c r="V64" s="19"/>
    </row>
    <row r="65" spans="1:22" x14ac:dyDescent="0.25">
      <c r="A65" s="10">
        <v>9250</v>
      </c>
      <c r="B65" s="10">
        <v>9500</v>
      </c>
      <c r="C65" s="10" t="str">
        <f>IF(AND(Rekentool!$E$53&gt;=A65,Rekentool!$E$53&lt;B65),"Ja","Nee")</f>
        <v>Nee</v>
      </c>
      <c r="D65" s="11">
        <f t="shared" si="17"/>
        <v>903.96</v>
      </c>
      <c r="E65" s="11">
        <f>101.57*12</f>
        <v>1218.8399999999999</v>
      </c>
      <c r="F65" s="11">
        <f>101.57*12</f>
        <v>1218.8399999999999</v>
      </c>
      <c r="G65" s="11">
        <v>1142</v>
      </c>
      <c r="H65" s="11">
        <v>1499.86</v>
      </c>
      <c r="I65" s="11">
        <f>93.75*12</f>
        <v>1125</v>
      </c>
      <c r="J65" s="11">
        <f t="shared" si="16"/>
        <v>660</v>
      </c>
      <c r="K65" s="11">
        <v>1499.86</v>
      </c>
      <c r="L65" s="11">
        <v>534</v>
      </c>
      <c r="M65" s="11">
        <v>459.6</v>
      </c>
      <c r="N65" s="11">
        <v>459.6</v>
      </c>
      <c r="O65" s="11">
        <v>1908.84</v>
      </c>
      <c r="P65" s="11">
        <v>1801.08</v>
      </c>
      <c r="Q65" s="11">
        <v>1045</v>
      </c>
      <c r="R65" s="11">
        <v>951</v>
      </c>
      <c r="S65" s="11">
        <v>674.5</v>
      </c>
      <c r="T65" s="11">
        <v>677.59</v>
      </c>
      <c r="U65" s="11">
        <v>678</v>
      </c>
      <c r="V65" s="19"/>
    </row>
    <row r="66" spans="1:22" x14ac:dyDescent="0.25">
      <c r="A66" s="10">
        <v>9500</v>
      </c>
      <c r="B66" s="10">
        <v>9750</v>
      </c>
      <c r="C66" s="10" t="str">
        <f>IF(AND(Rekentool!$E$53&gt;=A66,Rekentool!$E$53&lt;B66),"Ja","Nee")</f>
        <v>Nee</v>
      </c>
      <c r="D66" s="11">
        <f t="shared" si="17"/>
        <v>903.96</v>
      </c>
      <c r="E66" s="11">
        <f>104.27*12</f>
        <v>1251.24</v>
      </c>
      <c r="F66" s="11">
        <f>104.27*12</f>
        <v>1251.24</v>
      </c>
      <c r="G66" s="11">
        <v>1204</v>
      </c>
      <c r="H66" s="11">
        <v>1499.86</v>
      </c>
      <c r="I66" s="11">
        <f>96.25*12</f>
        <v>1155</v>
      </c>
      <c r="J66" s="11">
        <f t="shared" si="16"/>
        <v>660</v>
      </c>
      <c r="K66" s="11">
        <v>1499.86</v>
      </c>
      <c r="L66" s="11">
        <v>534</v>
      </c>
      <c r="M66" s="11">
        <v>495.84000000000003</v>
      </c>
      <c r="N66" s="11">
        <v>495.84000000000003</v>
      </c>
      <c r="O66" s="11">
        <v>1908.84</v>
      </c>
      <c r="P66" s="11">
        <v>1801.08</v>
      </c>
      <c r="Q66" s="11">
        <v>1045</v>
      </c>
      <c r="R66" s="11">
        <v>951</v>
      </c>
      <c r="S66" s="11">
        <v>674.5</v>
      </c>
      <c r="T66" s="11">
        <v>713.89</v>
      </c>
      <c r="U66" s="11">
        <v>714</v>
      </c>
      <c r="V66" s="19"/>
    </row>
    <row r="67" spans="1:22" x14ac:dyDescent="0.25">
      <c r="A67" s="10">
        <v>9750</v>
      </c>
      <c r="B67" s="10">
        <v>10000</v>
      </c>
      <c r="C67" s="10" t="str">
        <f>IF(AND(Rekentool!$E$53&gt;=A67,Rekentool!$E$53&lt;B67),"Ja","Nee")</f>
        <v>Nee</v>
      </c>
      <c r="D67" s="11">
        <f t="shared" si="17"/>
        <v>903.96</v>
      </c>
      <c r="E67" s="11">
        <f>106.98*12</f>
        <v>1283.76</v>
      </c>
      <c r="F67" s="11">
        <f>106.98*12</f>
        <v>1283.76</v>
      </c>
      <c r="G67" s="11">
        <v>1204</v>
      </c>
      <c r="H67" s="11">
        <v>1499.86</v>
      </c>
      <c r="I67" s="11">
        <f>98.75*12</f>
        <v>1185</v>
      </c>
      <c r="J67" s="11">
        <f t="shared" si="16"/>
        <v>660</v>
      </c>
      <c r="K67" s="11">
        <v>1499.86</v>
      </c>
      <c r="L67" s="11">
        <v>534</v>
      </c>
      <c r="M67" s="11">
        <v>495.84000000000003</v>
      </c>
      <c r="N67" s="11">
        <v>495.84000000000003</v>
      </c>
      <c r="O67" s="11">
        <v>1908.84</v>
      </c>
      <c r="P67" s="11">
        <v>1801.08</v>
      </c>
      <c r="Q67" s="11">
        <v>1045</v>
      </c>
      <c r="R67" s="11">
        <v>951</v>
      </c>
      <c r="S67" s="11">
        <v>674.5</v>
      </c>
      <c r="T67" s="11">
        <v>713.89</v>
      </c>
      <c r="U67" s="11">
        <v>714</v>
      </c>
    </row>
    <row r="68" spans="1:22" x14ac:dyDescent="0.25">
      <c r="A68" s="10">
        <v>10000</v>
      </c>
      <c r="B68" s="10">
        <v>10500</v>
      </c>
      <c r="C68" s="10" t="str">
        <f>IF(AND(Rekentool!$E$53&gt;=A68,Rekentool!$E$53&lt;B68),"Ja","Nee")</f>
        <v>Nee</v>
      </c>
      <c r="D68" s="11">
        <f>90.28*12</f>
        <v>1083.3600000000001</v>
      </c>
      <c r="E68" s="11">
        <v>1332.48</v>
      </c>
      <c r="F68" s="11">
        <v>1332.48</v>
      </c>
      <c r="G68" s="11">
        <v>1295</v>
      </c>
      <c r="H68" s="11">
        <v>3200</v>
      </c>
      <c r="I68" s="11">
        <f>105*12</f>
        <v>1260</v>
      </c>
      <c r="J68" s="11">
        <f t="shared" si="16"/>
        <v>660</v>
      </c>
      <c r="K68" s="11">
        <v>3200</v>
      </c>
      <c r="L68" s="11">
        <v>534</v>
      </c>
      <c r="M68" s="11"/>
      <c r="N68" s="11"/>
      <c r="O68" s="11">
        <v>2265.36</v>
      </c>
      <c r="P68" s="11">
        <v>2157.48</v>
      </c>
      <c r="Q68" s="11">
        <v>1240</v>
      </c>
      <c r="R68" s="11">
        <v>1253</v>
      </c>
      <c r="S68" s="11">
        <v>867.1</v>
      </c>
      <c r="T68" s="11">
        <v>750.19</v>
      </c>
      <c r="U68" s="11">
        <v>750</v>
      </c>
    </row>
    <row r="69" spans="1:22" x14ac:dyDescent="0.25">
      <c r="A69" s="10">
        <v>10500</v>
      </c>
      <c r="B69" s="10">
        <v>11000</v>
      </c>
      <c r="C69" s="10" t="str">
        <f>IF(AND(Rekentool!$E$53&gt;=A69,Rekentool!$E$53&lt;B69),"Ja","Nee")</f>
        <v>Nee</v>
      </c>
      <c r="D69" s="11">
        <f t="shared" ref="D69:D115" si="18">90.28*12</f>
        <v>1083.3600000000001</v>
      </c>
      <c r="E69" s="11">
        <v>1332.48</v>
      </c>
      <c r="F69" s="11">
        <v>1332.48</v>
      </c>
      <c r="G69" s="11">
        <v>1295</v>
      </c>
      <c r="H69" s="11">
        <v>3200</v>
      </c>
      <c r="I69" s="11">
        <f>105*12</f>
        <v>1260</v>
      </c>
      <c r="J69" s="11">
        <f t="shared" si="16"/>
        <v>660</v>
      </c>
      <c r="K69" s="11">
        <v>3200</v>
      </c>
      <c r="L69" s="11">
        <v>534</v>
      </c>
      <c r="M69" s="11"/>
      <c r="N69" s="11"/>
      <c r="O69" s="11">
        <v>2265.36</v>
      </c>
      <c r="P69" s="11">
        <v>2157.48</v>
      </c>
      <c r="Q69" s="11">
        <v>1240</v>
      </c>
      <c r="R69" s="11">
        <v>1253</v>
      </c>
      <c r="S69" s="11">
        <v>867.1</v>
      </c>
      <c r="T69" s="11">
        <v>786.49</v>
      </c>
      <c r="U69" s="11">
        <v>787</v>
      </c>
    </row>
    <row r="70" spans="1:22" x14ac:dyDescent="0.25">
      <c r="A70" s="10">
        <v>11000</v>
      </c>
      <c r="B70" s="10">
        <v>11500</v>
      </c>
      <c r="C70" s="10" t="str">
        <f>IF(AND(Rekentool!$E$53&gt;=A70,Rekentool!$E$53&lt;B70),"Ja","Nee")</f>
        <v>Nee</v>
      </c>
      <c r="D70" s="11">
        <f t="shared" si="18"/>
        <v>1083.3600000000001</v>
      </c>
      <c r="E70" s="11">
        <v>1332.48</v>
      </c>
      <c r="F70" s="11">
        <v>1332.48</v>
      </c>
      <c r="G70" s="11">
        <v>1419</v>
      </c>
      <c r="H70" s="11">
        <v>3200</v>
      </c>
      <c r="I70" s="11">
        <f>115*12</f>
        <v>1380</v>
      </c>
      <c r="J70" s="11">
        <f t="shared" si="16"/>
        <v>660</v>
      </c>
      <c r="K70" s="11">
        <v>3200</v>
      </c>
      <c r="L70" s="11">
        <v>534</v>
      </c>
      <c r="M70" s="11"/>
      <c r="N70" s="11"/>
      <c r="O70" s="11">
        <v>2265.36</v>
      </c>
      <c r="P70" s="11">
        <v>2157.48</v>
      </c>
      <c r="Q70" s="11">
        <v>1240</v>
      </c>
      <c r="R70" s="11">
        <v>1253</v>
      </c>
      <c r="S70" s="11">
        <v>867.1</v>
      </c>
      <c r="T70" s="11">
        <v>822.79</v>
      </c>
      <c r="U70" s="11">
        <v>823</v>
      </c>
    </row>
    <row r="71" spans="1:22" x14ac:dyDescent="0.25">
      <c r="A71" s="10">
        <v>11500</v>
      </c>
      <c r="B71" s="10">
        <v>12000</v>
      </c>
      <c r="C71" s="10" t="str">
        <f>IF(AND(Rekentool!$E$53&gt;=A71,Rekentool!$E$53&lt;B71),"Ja","Nee")</f>
        <v>Nee</v>
      </c>
      <c r="D71" s="11">
        <f t="shared" si="18"/>
        <v>1083.3600000000001</v>
      </c>
      <c r="E71" s="11">
        <v>1332.48</v>
      </c>
      <c r="F71" s="11">
        <v>1332.48</v>
      </c>
      <c r="G71" s="11">
        <v>1419</v>
      </c>
      <c r="H71" s="11">
        <v>3200</v>
      </c>
      <c r="I71" s="11">
        <f>115*12</f>
        <v>1380</v>
      </c>
      <c r="J71" s="11">
        <f t="shared" si="16"/>
        <v>660</v>
      </c>
      <c r="K71" s="11">
        <v>3200</v>
      </c>
      <c r="L71" s="11">
        <v>534</v>
      </c>
      <c r="M71" s="11"/>
      <c r="N71" s="11"/>
      <c r="O71" s="11">
        <v>2265.36</v>
      </c>
      <c r="P71" s="11">
        <v>2157.48</v>
      </c>
      <c r="Q71" s="11">
        <v>1240</v>
      </c>
      <c r="R71" s="11">
        <v>1253</v>
      </c>
      <c r="S71" s="11">
        <v>867.1</v>
      </c>
      <c r="T71" s="11">
        <v>859.09</v>
      </c>
      <c r="U71" s="11">
        <v>859</v>
      </c>
    </row>
    <row r="72" spans="1:22" x14ac:dyDescent="0.25">
      <c r="A72" s="10">
        <v>12000</v>
      </c>
      <c r="B72" s="10">
        <v>12500</v>
      </c>
      <c r="C72" s="10" t="str">
        <f>IF(AND(Rekentool!$E$53&gt;=A72,Rekentool!$E$53&lt;B72),"Ja","Nee")</f>
        <v>Nee</v>
      </c>
      <c r="D72" s="11">
        <f t="shared" si="18"/>
        <v>1083.3600000000001</v>
      </c>
      <c r="E72" s="11">
        <v>1332.48</v>
      </c>
      <c r="F72" s="11">
        <v>1332.48</v>
      </c>
      <c r="G72" s="11">
        <v>1542</v>
      </c>
      <c r="H72" s="11">
        <v>3200</v>
      </c>
      <c r="I72" s="11">
        <f>125*12</f>
        <v>1500</v>
      </c>
      <c r="J72" s="11">
        <f t="shared" si="16"/>
        <v>660</v>
      </c>
      <c r="K72" s="11">
        <v>3200</v>
      </c>
      <c r="L72" s="11">
        <v>534</v>
      </c>
      <c r="M72" s="11"/>
      <c r="N72" s="11"/>
      <c r="O72" s="11">
        <v>2265.36</v>
      </c>
      <c r="P72" s="11">
        <v>2157.48</v>
      </c>
      <c r="Q72" s="11">
        <v>1240</v>
      </c>
      <c r="R72" s="11">
        <v>1253</v>
      </c>
      <c r="S72" s="11">
        <v>867.1</v>
      </c>
      <c r="T72" s="11">
        <v>895.39</v>
      </c>
      <c r="U72" s="11">
        <v>895</v>
      </c>
    </row>
    <row r="73" spans="1:22" x14ac:dyDescent="0.25">
      <c r="A73" s="10">
        <v>12500</v>
      </c>
      <c r="B73" s="10">
        <v>13000</v>
      </c>
      <c r="C73" s="10" t="str">
        <f>IF(AND(Rekentool!$E$53&gt;=A73,Rekentool!$E$53&lt;B73),"Ja","Nee")</f>
        <v>Nee</v>
      </c>
      <c r="D73" s="11">
        <f t="shared" si="18"/>
        <v>1083.3600000000001</v>
      </c>
      <c r="E73" s="11">
        <v>1332.48</v>
      </c>
      <c r="F73" s="11">
        <v>1332.48</v>
      </c>
      <c r="G73" s="11">
        <v>1542</v>
      </c>
      <c r="H73" s="11">
        <v>3200</v>
      </c>
      <c r="I73" s="11">
        <f>125*12</f>
        <v>1500</v>
      </c>
      <c r="J73" s="11">
        <f t="shared" si="16"/>
        <v>660</v>
      </c>
      <c r="K73" s="11">
        <v>3200</v>
      </c>
      <c r="L73" s="11">
        <v>534</v>
      </c>
      <c r="M73" s="11"/>
      <c r="N73" s="11"/>
      <c r="O73" s="11">
        <v>2734.32</v>
      </c>
      <c r="P73" s="11">
        <v>2626.56</v>
      </c>
      <c r="Q73" s="11">
        <v>1510</v>
      </c>
      <c r="R73" s="11">
        <v>1253</v>
      </c>
      <c r="S73" s="11">
        <v>1059.8</v>
      </c>
      <c r="T73" s="11">
        <v>931.69</v>
      </c>
      <c r="U73" s="11">
        <v>932</v>
      </c>
    </row>
    <row r="74" spans="1:22" x14ac:dyDescent="0.25">
      <c r="A74" s="10">
        <v>13000</v>
      </c>
      <c r="B74" s="10">
        <v>13500</v>
      </c>
      <c r="C74" s="10" t="str">
        <f>IF(AND(Rekentool!$E$53&gt;=A74,Rekentool!$E$53&lt;B74),"Ja","Nee")</f>
        <v>Nee</v>
      </c>
      <c r="D74" s="11">
        <f t="shared" si="18"/>
        <v>1083.3600000000001</v>
      </c>
      <c r="E74" s="11">
        <v>1332.48</v>
      </c>
      <c r="F74" s="11">
        <v>1332.48</v>
      </c>
      <c r="G74" s="11">
        <v>1666</v>
      </c>
      <c r="H74" s="11">
        <v>3200</v>
      </c>
      <c r="I74" s="11">
        <f>135*12</f>
        <v>1620</v>
      </c>
      <c r="J74" s="11">
        <f t="shared" si="16"/>
        <v>660</v>
      </c>
      <c r="K74" s="11">
        <v>3200</v>
      </c>
      <c r="L74" s="11">
        <v>534</v>
      </c>
      <c r="M74" s="11"/>
      <c r="N74" s="11"/>
      <c r="O74" s="11">
        <v>2734.32</v>
      </c>
      <c r="P74" s="11">
        <v>2626.56</v>
      </c>
      <c r="Q74" s="11">
        <v>1510</v>
      </c>
      <c r="R74" s="11">
        <v>1253</v>
      </c>
      <c r="S74" s="11">
        <v>1059.8</v>
      </c>
      <c r="T74" s="11">
        <v>967.99</v>
      </c>
      <c r="U74" s="11">
        <v>968</v>
      </c>
    </row>
    <row r="75" spans="1:22" x14ac:dyDescent="0.25">
      <c r="A75" s="10">
        <v>13500</v>
      </c>
      <c r="B75" s="10">
        <v>14000</v>
      </c>
      <c r="C75" s="10" t="str">
        <f>IF(AND(Rekentool!$E$53&gt;=A75,Rekentool!$E$53&lt;B75),"Ja","Nee")</f>
        <v>Nee</v>
      </c>
      <c r="D75" s="11">
        <f t="shared" si="18"/>
        <v>1083.3600000000001</v>
      </c>
      <c r="E75" s="11">
        <v>1332.48</v>
      </c>
      <c r="F75" s="11">
        <v>1332.48</v>
      </c>
      <c r="G75" s="11">
        <v>1666</v>
      </c>
      <c r="H75" s="11">
        <v>3200</v>
      </c>
      <c r="I75" s="11">
        <f>135*12</f>
        <v>1620</v>
      </c>
      <c r="J75" s="11">
        <f t="shared" si="16"/>
        <v>660</v>
      </c>
      <c r="K75" s="11">
        <v>3200</v>
      </c>
      <c r="L75" s="11">
        <v>534</v>
      </c>
      <c r="M75" s="11"/>
      <c r="N75" s="11"/>
      <c r="O75" s="11">
        <v>2734.32</v>
      </c>
      <c r="P75" s="11">
        <v>2626.56</v>
      </c>
      <c r="Q75" s="11">
        <v>1510</v>
      </c>
      <c r="R75" s="11">
        <v>1253</v>
      </c>
      <c r="S75" s="11">
        <v>1059.8</v>
      </c>
      <c r="T75" s="11">
        <v>1004.29</v>
      </c>
      <c r="U75" s="11">
        <v>1004</v>
      </c>
    </row>
    <row r="76" spans="1:22" x14ac:dyDescent="0.25">
      <c r="A76" s="10">
        <v>14000</v>
      </c>
      <c r="B76" s="10">
        <v>14500</v>
      </c>
      <c r="C76" s="10" t="str">
        <f>IF(AND(Rekentool!$E$53&gt;=A76,Rekentool!$E$53&lt;B76),"Ja","Nee")</f>
        <v>Nee</v>
      </c>
      <c r="D76" s="11">
        <f t="shared" si="18"/>
        <v>1083.3600000000001</v>
      </c>
      <c r="E76" s="11">
        <v>1332.48</v>
      </c>
      <c r="F76" s="11">
        <v>1332.48</v>
      </c>
      <c r="G76" s="11">
        <v>1789</v>
      </c>
      <c r="H76" s="11">
        <v>3200</v>
      </c>
      <c r="I76" s="11">
        <f>145*12</f>
        <v>1740</v>
      </c>
      <c r="J76" s="11">
        <f t="shared" si="16"/>
        <v>660</v>
      </c>
      <c r="K76" s="11">
        <v>3200</v>
      </c>
      <c r="L76" s="11">
        <v>534</v>
      </c>
      <c r="M76" s="11"/>
      <c r="N76" s="11"/>
      <c r="O76" s="11">
        <v>2734.32</v>
      </c>
      <c r="P76" s="11">
        <v>2626.56</v>
      </c>
      <c r="Q76" s="11">
        <v>1510</v>
      </c>
      <c r="R76" s="11">
        <v>1253</v>
      </c>
      <c r="S76" s="11">
        <v>1059.8</v>
      </c>
      <c r="T76" s="11">
        <v>1040.5899999999999</v>
      </c>
      <c r="U76" s="11">
        <v>1041</v>
      </c>
    </row>
    <row r="77" spans="1:22" x14ac:dyDescent="0.25">
      <c r="A77" s="10">
        <v>14500</v>
      </c>
      <c r="B77" s="10">
        <v>15000</v>
      </c>
      <c r="C77" s="10" t="str">
        <f>IF(AND(Rekentool!$E$53&gt;=A77,Rekentool!$E$53&lt;B77),"Ja","Nee")</f>
        <v>Nee</v>
      </c>
      <c r="D77" s="11">
        <f t="shared" si="18"/>
        <v>1083.3600000000001</v>
      </c>
      <c r="E77" s="11">
        <v>1332.48</v>
      </c>
      <c r="F77" s="11">
        <v>1332.48</v>
      </c>
      <c r="G77" s="11">
        <v>1789</v>
      </c>
      <c r="H77" s="11">
        <v>3200</v>
      </c>
      <c r="I77" s="11">
        <f>145*12</f>
        <v>1740</v>
      </c>
      <c r="J77" s="11">
        <f t="shared" si="16"/>
        <v>660</v>
      </c>
      <c r="K77" s="11">
        <v>3200</v>
      </c>
      <c r="L77" s="11">
        <v>534</v>
      </c>
      <c r="M77" s="11"/>
      <c r="N77" s="11"/>
      <c r="O77" s="11">
        <v>2734.32</v>
      </c>
      <c r="P77" s="11">
        <v>2626.56</v>
      </c>
      <c r="Q77" s="11">
        <v>1510</v>
      </c>
      <c r="R77" s="11">
        <v>1253</v>
      </c>
      <c r="S77" s="11">
        <v>1059.8</v>
      </c>
      <c r="T77" s="11">
        <v>1076.8900000000001</v>
      </c>
      <c r="U77" s="11">
        <v>1077</v>
      </c>
    </row>
    <row r="78" spans="1:22" x14ac:dyDescent="0.25">
      <c r="A78" s="10">
        <v>15000</v>
      </c>
      <c r="B78" s="10">
        <v>15500</v>
      </c>
      <c r="C78" s="10" t="str">
        <f>IF(AND(Rekentool!$E$53&gt;=A78,Rekentool!$E$53&lt;B78),"Ja","Nee")</f>
        <v>Nee</v>
      </c>
      <c r="D78" s="11">
        <f t="shared" si="18"/>
        <v>1083.3600000000001</v>
      </c>
      <c r="E78" s="11">
        <v>1332.48</v>
      </c>
      <c r="F78" s="11">
        <v>1332.48</v>
      </c>
      <c r="G78" s="11">
        <v>1913</v>
      </c>
      <c r="H78" s="11">
        <v>3200</v>
      </c>
      <c r="I78" s="11">
        <f>155*12</f>
        <v>1860</v>
      </c>
      <c r="J78" s="11">
        <f t="shared" si="16"/>
        <v>660</v>
      </c>
      <c r="K78" s="11">
        <v>3200</v>
      </c>
      <c r="L78" s="11">
        <v>534</v>
      </c>
      <c r="M78" s="11"/>
      <c r="N78" s="11"/>
      <c r="O78" s="11">
        <v>5736.12</v>
      </c>
      <c r="P78" s="11">
        <v>5628.36</v>
      </c>
      <c r="Q78" s="11">
        <v>1790</v>
      </c>
      <c r="R78" s="11">
        <v>1253</v>
      </c>
      <c r="S78" s="11">
        <v>1348.9</v>
      </c>
      <c r="T78" s="11">
        <v>1113.19</v>
      </c>
      <c r="U78" s="11">
        <v>1113</v>
      </c>
    </row>
    <row r="79" spans="1:22" x14ac:dyDescent="0.25">
      <c r="A79" s="10">
        <v>15500</v>
      </c>
      <c r="B79" s="10">
        <v>16000</v>
      </c>
      <c r="C79" s="10" t="str">
        <f>IF(AND(Rekentool!$E$53&gt;=A79,Rekentool!$E$53&lt;B79),"Ja","Nee")</f>
        <v>Nee</v>
      </c>
      <c r="D79" s="11">
        <f t="shared" si="18"/>
        <v>1083.3600000000001</v>
      </c>
      <c r="E79" s="11">
        <v>1332.48</v>
      </c>
      <c r="F79" s="11">
        <v>1332.48</v>
      </c>
      <c r="G79" s="11">
        <v>1913</v>
      </c>
      <c r="H79" s="11">
        <v>3200</v>
      </c>
      <c r="I79" s="11">
        <f>155*12</f>
        <v>1860</v>
      </c>
      <c r="J79" s="11">
        <f t="shared" si="16"/>
        <v>660</v>
      </c>
      <c r="K79" s="11">
        <v>3200</v>
      </c>
      <c r="L79" s="11">
        <v>534</v>
      </c>
      <c r="M79" s="11"/>
      <c r="N79" s="11"/>
      <c r="O79" s="11">
        <v>5736.12</v>
      </c>
      <c r="P79" s="11">
        <v>5628.36</v>
      </c>
      <c r="Q79" s="11">
        <v>1790</v>
      </c>
      <c r="R79" s="11">
        <v>1253</v>
      </c>
      <c r="S79" s="11">
        <v>1348.9</v>
      </c>
      <c r="T79" s="11">
        <v>1149.49</v>
      </c>
      <c r="U79" s="11">
        <v>1150</v>
      </c>
    </row>
    <row r="80" spans="1:22" x14ac:dyDescent="0.25">
      <c r="A80" s="10">
        <v>16000</v>
      </c>
      <c r="B80" s="10">
        <v>16500</v>
      </c>
      <c r="C80" s="10" t="str">
        <f>IF(AND(Rekentool!$E$53&gt;=A80,Rekentool!$E$53&lt;B80),"Ja","Nee")</f>
        <v>Nee</v>
      </c>
      <c r="D80" s="11">
        <f t="shared" si="18"/>
        <v>1083.3600000000001</v>
      </c>
      <c r="E80" s="11">
        <v>1332.48</v>
      </c>
      <c r="F80" s="11">
        <v>1332.48</v>
      </c>
      <c r="G80" s="11">
        <v>2037</v>
      </c>
      <c r="H80" s="11">
        <v>3200</v>
      </c>
      <c r="I80" s="11">
        <f>165*12</f>
        <v>1980</v>
      </c>
      <c r="J80" s="11">
        <f t="shared" si="16"/>
        <v>660</v>
      </c>
      <c r="K80" s="11">
        <v>3200</v>
      </c>
      <c r="L80" s="11">
        <v>534</v>
      </c>
      <c r="M80" s="11"/>
      <c r="N80" s="11"/>
      <c r="O80" s="11">
        <v>5736.12</v>
      </c>
      <c r="P80" s="11">
        <v>5628.36</v>
      </c>
      <c r="Q80" s="11">
        <v>1790</v>
      </c>
      <c r="R80" s="11">
        <v>1253</v>
      </c>
      <c r="S80" s="11">
        <v>1348.9</v>
      </c>
      <c r="T80" s="11">
        <v>1185.79</v>
      </c>
      <c r="U80" s="11">
        <v>1186</v>
      </c>
    </row>
    <row r="81" spans="1:21" x14ac:dyDescent="0.25">
      <c r="A81" s="10">
        <v>16500</v>
      </c>
      <c r="B81" s="10">
        <v>17000</v>
      </c>
      <c r="C81" s="10" t="str">
        <f>IF(AND(Rekentool!$E$53&gt;=A81,Rekentool!$E$53&lt;B81),"Ja","Nee")</f>
        <v>Nee</v>
      </c>
      <c r="D81" s="11">
        <f t="shared" si="18"/>
        <v>1083.3600000000001</v>
      </c>
      <c r="E81" s="11">
        <v>1332.48</v>
      </c>
      <c r="F81" s="11">
        <v>1332.48</v>
      </c>
      <c r="G81" s="11">
        <v>2037</v>
      </c>
      <c r="H81" s="11">
        <v>3200</v>
      </c>
      <c r="I81" s="11">
        <f>165*12</f>
        <v>1980</v>
      </c>
      <c r="J81" s="11">
        <f t="shared" si="16"/>
        <v>660</v>
      </c>
      <c r="K81" s="11">
        <v>3200</v>
      </c>
      <c r="L81" s="11">
        <v>534</v>
      </c>
      <c r="M81" s="11"/>
      <c r="N81" s="11"/>
      <c r="O81" s="11">
        <v>5736.12</v>
      </c>
      <c r="P81" s="11">
        <v>5628.36</v>
      </c>
      <c r="Q81" s="11">
        <v>1790</v>
      </c>
      <c r="R81" s="11">
        <v>1253</v>
      </c>
      <c r="S81" s="11">
        <v>1348.9</v>
      </c>
      <c r="T81" s="11">
        <v>1222.0899999999999</v>
      </c>
      <c r="U81" s="11">
        <v>1222</v>
      </c>
    </row>
    <row r="82" spans="1:21" x14ac:dyDescent="0.25">
      <c r="A82" s="10">
        <v>17000</v>
      </c>
      <c r="B82" s="10">
        <v>17500</v>
      </c>
      <c r="C82" s="10" t="str">
        <f>IF(AND(Rekentool!$E$53&gt;=A82,Rekentool!$E$53&lt;B82),"Ja","Nee")</f>
        <v>Nee</v>
      </c>
      <c r="D82" s="11">
        <f t="shared" si="18"/>
        <v>1083.3600000000001</v>
      </c>
      <c r="E82" s="11">
        <v>1332.48</v>
      </c>
      <c r="F82" s="11">
        <v>1332.48</v>
      </c>
      <c r="G82" s="11">
        <v>2159</v>
      </c>
      <c r="H82" s="11">
        <v>3200</v>
      </c>
      <c r="I82" s="11">
        <f>175*12</f>
        <v>2100</v>
      </c>
      <c r="J82" s="11">
        <f t="shared" si="16"/>
        <v>660</v>
      </c>
      <c r="K82" s="11">
        <v>3200</v>
      </c>
      <c r="L82" s="11">
        <v>534</v>
      </c>
      <c r="M82" s="11"/>
      <c r="N82" s="11"/>
      <c r="O82" s="11">
        <v>5736.12</v>
      </c>
      <c r="P82" s="11">
        <v>5628.36</v>
      </c>
      <c r="Q82" s="11">
        <v>1790</v>
      </c>
      <c r="R82" s="11">
        <v>1253</v>
      </c>
      <c r="S82" s="11">
        <v>1348.9</v>
      </c>
      <c r="T82" s="11">
        <v>1258.3900000000001</v>
      </c>
      <c r="U82" s="11">
        <v>1258</v>
      </c>
    </row>
    <row r="83" spans="1:21" x14ac:dyDescent="0.25">
      <c r="A83" s="10">
        <v>17500</v>
      </c>
      <c r="B83" s="10">
        <v>18000</v>
      </c>
      <c r="C83" s="10" t="str">
        <f>IF(AND(Rekentool!$E$53&gt;=A83,Rekentool!$E$53&lt;B83),"Ja","Nee")</f>
        <v>Nee</v>
      </c>
      <c r="D83" s="11">
        <f t="shared" si="18"/>
        <v>1083.3600000000001</v>
      </c>
      <c r="E83" s="11">
        <v>1332.48</v>
      </c>
      <c r="F83" s="11">
        <v>1332.48</v>
      </c>
      <c r="G83" s="11">
        <v>2159</v>
      </c>
      <c r="H83" s="11">
        <v>3200</v>
      </c>
      <c r="I83" s="11">
        <f>175*12</f>
        <v>2100</v>
      </c>
      <c r="J83" s="11">
        <f t="shared" si="16"/>
        <v>660</v>
      </c>
      <c r="K83" s="11">
        <v>3200</v>
      </c>
      <c r="L83" s="11">
        <v>534</v>
      </c>
      <c r="M83" s="11"/>
      <c r="N83" s="11"/>
      <c r="O83" s="11">
        <v>5736.12</v>
      </c>
      <c r="P83" s="11">
        <v>5628.36</v>
      </c>
      <c r="Q83" s="11">
        <v>2060</v>
      </c>
      <c r="R83" s="11">
        <v>1253</v>
      </c>
      <c r="S83" s="11">
        <v>1348.9</v>
      </c>
      <c r="T83" s="11">
        <v>1294.69</v>
      </c>
      <c r="U83" s="11">
        <v>1295</v>
      </c>
    </row>
    <row r="84" spans="1:21" x14ac:dyDescent="0.25">
      <c r="A84" s="10">
        <v>18000</v>
      </c>
      <c r="B84" s="10">
        <v>18500</v>
      </c>
      <c r="C84" s="10" t="str">
        <f>IF(AND(Rekentool!$E$53&gt;=A84,Rekentool!$E$53&lt;B84),"Ja","Nee")</f>
        <v>Nee</v>
      </c>
      <c r="D84" s="11">
        <f t="shared" si="18"/>
        <v>1083.3600000000001</v>
      </c>
      <c r="E84" s="11">
        <v>1332.48</v>
      </c>
      <c r="F84" s="11">
        <v>1332.48</v>
      </c>
      <c r="G84" s="11">
        <v>2283</v>
      </c>
      <c r="H84" s="11">
        <v>3200</v>
      </c>
      <c r="I84" s="11">
        <f>185*12</f>
        <v>2220</v>
      </c>
      <c r="J84" s="11">
        <f t="shared" si="16"/>
        <v>660</v>
      </c>
      <c r="K84" s="11">
        <v>3200</v>
      </c>
      <c r="L84" s="11">
        <v>534</v>
      </c>
      <c r="M84" s="11"/>
      <c r="N84" s="11"/>
      <c r="O84" s="11">
        <v>5736.12</v>
      </c>
      <c r="P84" s="11">
        <v>5628.36</v>
      </c>
      <c r="Q84" s="11">
        <v>2060</v>
      </c>
      <c r="R84" s="11">
        <v>1253</v>
      </c>
      <c r="S84" s="11">
        <v>1348.9</v>
      </c>
      <c r="T84" s="11">
        <v>1330.99</v>
      </c>
      <c r="U84" s="11">
        <v>1331</v>
      </c>
    </row>
    <row r="85" spans="1:21" x14ac:dyDescent="0.25">
      <c r="A85" s="10">
        <v>18500</v>
      </c>
      <c r="B85" s="10">
        <v>19000</v>
      </c>
      <c r="C85" s="10" t="str">
        <f>IF(AND(Rekentool!$E$53&gt;=A85,Rekentool!$E$53&lt;B85),"Ja","Nee")</f>
        <v>Nee</v>
      </c>
      <c r="D85" s="11">
        <f t="shared" si="18"/>
        <v>1083.3600000000001</v>
      </c>
      <c r="E85" s="11">
        <v>1332.48</v>
      </c>
      <c r="F85" s="11">
        <v>1332.48</v>
      </c>
      <c r="G85" s="11">
        <v>2283</v>
      </c>
      <c r="H85" s="11">
        <v>3200</v>
      </c>
      <c r="I85" s="11">
        <f>185*12</f>
        <v>2220</v>
      </c>
      <c r="J85" s="11">
        <f t="shared" si="16"/>
        <v>660</v>
      </c>
      <c r="K85" s="11">
        <v>3200</v>
      </c>
      <c r="L85" s="11">
        <v>534</v>
      </c>
      <c r="M85" s="11"/>
      <c r="N85" s="11"/>
      <c r="O85" s="11">
        <v>5736.12</v>
      </c>
      <c r="P85" s="11">
        <v>5628.36</v>
      </c>
      <c r="Q85" s="11">
        <v>2060</v>
      </c>
      <c r="R85" s="11">
        <v>1253</v>
      </c>
      <c r="S85" s="11">
        <v>1348.9</v>
      </c>
      <c r="T85" s="11">
        <v>1367.29</v>
      </c>
      <c r="U85" s="11">
        <v>1367</v>
      </c>
    </row>
    <row r="86" spans="1:21" x14ac:dyDescent="0.25">
      <c r="A86" s="10">
        <v>19000</v>
      </c>
      <c r="B86" s="10">
        <v>19500</v>
      </c>
      <c r="C86" s="10" t="str">
        <f>IF(AND(Rekentool!$E$53&gt;=A86,Rekentool!$E$53&lt;B86),"Ja","Nee")</f>
        <v>Nee</v>
      </c>
      <c r="D86" s="11">
        <f t="shared" si="18"/>
        <v>1083.3600000000001</v>
      </c>
      <c r="E86" s="11">
        <v>1332.48</v>
      </c>
      <c r="F86" s="11">
        <v>1332.48</v>
      </c>
      <c r="G86" s="11">
        <v>2406</v>
      </c>
      <c r="H86" s="11">
        <v>3200</v>
      </c>
      <c r="I86" s="11">
        <f>195*12</f>
        <v>2340</v>
      </c>
      <c r="J86" s="11">
        <f t="shared" si="16"/>
        <v>660</v>
      </c>
      <c r="K86" s="11">
        <v>3200</v>
      </c>
      <c r="L86" s="11">
        <v>534</v>
      </c>
      <c r="M86" s="11"/>
      <c r="N86" s="11"/>
      <c r="O86" s="11">
        <v>5736.12</v>
      </c>
      <c r="P86" s="11">
        <v>5628.36</v>
      </c>
      <c r="Q86" s="11">
        <v>2060</v>
      </c>
      <c r="R86" s="11">
        <v>1253</v>
      </c>
      <c r="S86" s="11">
        <v>1348.9</v>
      </c>
      <c r="T86" s="11">
        <v>1403.59</v>
      </c>
      <c r="U86" s="11">
        <v>1404</v>
      </c>
    </row>
    <row r="87" spans="1:21" x14ac:dyDescent="0.25">
      <c r="A87" s="10">
        <v>19500</v>
      </c>
      <c r="B87" s="10">
        <v>20000</v>
      </c>
      <c r="C87" s="10" t="str">
        <f>IF(AND(Rekentool!$E$53&gt;=A87,Rekentool!$E$53&lt;B87),"Ja","Nee")</f>
        <v>Nee</v>
      </c>
      <c r="D87" s="11">
        <f t="shared" si="18"/>
        <v>1083.3600000000001</v>
      </c>
      <c r="E87" s="11">
        <v>1332.48</v>
      </c>
      <c r="F87" s="11">
        <v>1332.48</v>
      </c>
      <c r="G87" s="11">
        <v>2406</v>
      </c>
      <c r="H87" s="11">
        <v>3200</v>
      </c>
      <c r="I87" s="11">
        <f>195*12</f>
        <v>2340</v>
      </c>
      <c r="J87" s="11">
        <f t="shared" si="16"/>
        <v>660</v>
      </c>
      <c r="K87" s="11">
        <v>3200</v>
      </c>
      <c r="L87" s="11">
        <v>534</v>
      </c>
      <c r="M87" s="11"/>
      <c r="N87" s="11"/>
      <c r="O87" s="11">
        <v>5736.12</v>
      </c>
      <c r="P87" s="11">
        <v>5628.36</v>
      </c>
      <c r="Q87" s="11">
        <v>2060</v>
      </c>
      <c r="R87" s="11">
        <v>1253</v>
      </c>
      <c r="S87" s="11">
        <v>1348.9</v>
      </c>
      <c r="T87" s="11">
        <v>1439.89</v>
      </c>
      <c r="U87" s="11">
        <v>1440</v>
      </c>
    </row>
    <row r="88" spans="1:21" x14ac:dyDescent="0.25">
      <c r="A88" s="10">
        <v>20000</v>
      </c>
      <c r="B88" s="10">
        <v>20500</v>
      </c>
      <c r="C88" s="10" t="str">
        <f>IF(AND(Rekentool!$E$53&gt;=A88,Rekentool!$E$53&lt;B88),"Ja","Nee")</f>
        <v>Nee</v>
      </c>
      <c r="D88" s="11">
        <f t="shared" si="18"/>
        <v>1083.3600000000001</v>
      </c>
      <c r="E88" s="11">
        <v>1332.48</v>
      </c>
      <c r="F88" s="11">
        <v>1332.48</v>
      </c>
      <c r="G88" s="11">
        <v>2530</v>
      </c>
      <c r="H88" s="11">
        <v>3200</v>
      </c>
      <c r="I88" s="11">
        <f>205*12</f>
        <v>2460</v>
      </c>
      <c r="J88" s="11">
        <f t="shared" si="16"/>
        <v>660</v>
      </c>
      <c r="K88" s="11">
        <v>3200</v>
      </c>
      <c r="L88" s="11">
        <v>534</v>
      </c>
      <c r="M88" s="11"/>
      <c r="N88" s="11"/>
      <c r="O88" s="11">
        <v>5736.12</v>
      </c>
      <c r="P88" s="11">
        <v>5628.36</v>
      </c>
      <c r="Q88" s="11">
        <v>2340</v>
      </c>
      <c r="R88" s="11">
        <v>1253</v>
      </c>
      <c r="S88" s="11">
        <v>1734.4</v>
      </c>
      <c r="T88" s="11">
        <v>1476.19</v>
      </c>
      <c r="U88" s="11">
        <v>1476</v>
      </c>
    </row>
    <row r="89" spans="1:21" x14ac:dyDescent="0.25">
      <c r="A89" s="10">
        <v>20500</v>
      </c>
      <c r="B89" s="10">
        <v>21000</v>
      </c>
      <c r="C89" s="10" t="str">
        <f>IF(AND(Rekentool!$E$53&gt;=A89,Rekentool!$E$53&lt;B89),"Ja","Nee")</f>
        <v>Nee</v>
      </c>
      <c r="D89" s="11">
        <f t="shared" si="18"/>
        <v>1083.3600000000001</v>
      </c>
      <c r="E89" s="11">
        <v>1332.48</v>
      </c>
      <c r="F89" s="11">
        <v>1332.48</v>
      </c>
      <c r="G89" s="11">
        <v>2530</v>
      </c>
      <c r="H89" s="11">
        <v>3200</v>
      </c>
      <c r="I89" s="11">
        <f>205*12</f>
        <v>2460</v>
      </c>
      <c r="J89" s="11">
        <f t="shared" si="16"/>
        <v>660</v>
      </c>
      <c r="K89" s="11">
        <v>3200</v>
      </c>
      <c r="L89" s="11">
        <v>534</v>
      </c>
      <c r="M89" s="11"/>
      <c r="N89" s="11"/>
      <c r="O89" s="11">
        <v>5736.12</v>
      </c>
      <c r="P89" s="11">
        <v>5628.36</v>
      </c>
      <c r="Q89" s="11">
        <v>2340</v>
      </c>
      <c r="R89" s="11">
        <v>1253</v>
      </c>
      <c r="S89" s="11">
        <v>1734.4</v>
      </c>
      <c r="T89" s="11">
        <v>1512.49</v>
      </c>
      <c r="U89" s="11">
        <v>1513</v>
      </c>
    </row>
    <row r="90" spans="1:21" x14ac:dyDescent="0.25">
      <c r="A90" s="10">
        <v>21000</v>
      </c>
      <c r="B90" s="10">
        <v>21500</v>
      </c>
      <c r="C90" s="10" t="str">
        <f>IF(AND(Rekentool!$E$53&gt;=A90,Rekentool!$E$53&lt;B90),"Ja","Nee")</f>
        <v>Nee</v>
      </c>
      <c r="D90" s="11">
        <f t="shared" si="18"/>
        <v>1083.3600000000001</v>
      </c>
      <c r="E90" s="11">
        <v>1332.48</v>
      </c>
      <c r="F90" s="11">
        <v>1332.48</v>
      </c>
      <c r="G90" s="11">
        <v>2653</v>
      </c>
      <c r="H90" s="11">
        <v>3200</v>
      </c>
      <c r="I90" s="11">
        <f t="shared" ref="I90:I115" si="19">205*12</f>
        <v>2460</v>
      </c>
      <c r="J90" s="11">
        <f t="shared" si="16"/>
        <v>660</v>
      </c>
      <c r="K90" s="11">
        <v>3200</v>
      </c>
      <c r="L90" s="11">
        <v>534</v>
      </c>
      <c r="M90" s="11"/>
      <c r="N90" s="11"/>
      <c r="O90" s="11">
        <v>5736.12</v>
      </c>
      <c r="P90" s="11">
        <v>5628.36</v>
      </c>
      <c r="Q90" s="11">
        <v>2340</v>
      </c>
      <c r="R90" s="11">
        <v>1253</v>
      </c>
      <c r="S90" s="11">
        <v>1734.4</v>
      </c>
      <c r="T90" s="11">
        <v>1548.79</v>
      </c>
      <c r="U90" s="11">
        <v>1549</v>
      </c>
    </row>
    <row r="91" spans="1:21" x14ac:dyDescent="0.25">
      <c r="A91" s="10">
        <v>21500</v>
      </c>
      <c r="B91" s="10">
        <v>22000</v>
      </c>
      <c r="C91" s="10" t="str">
        <f>IF(AND(Rekentool!$E$53&gt;=A91,Rekentool!$E$53&lt;B91),"Ja","Nee")</f>
        <v>Nee</v>
      </c>
      <c r="D91" s="11">
        <f t="shared" si="18"/>
        <v>1083.3600000000001</v>
      </c>
      <c r="E91" s="11">
        <v>1332.48</v>
      </c>
      <c r="F91" s="11">
        <v>1332.48</v>
      </c>
      <c r="G91" s="11">
        <v>2653</v>
      </c>
      <c r="H91" s="11">
        <v>3200</v>
      </c>
      <c r="I91" s="11">
        <f t="shared" si="19"/>
        <v>2460</v>
      </c>
      <c r="J91" s="11">
        <f t="shared" si="16"/>
        <v>660</v>
      </c>
      <c r="K91" s="11">
        <v>3200</v>
      </c>
      <c r="L91" s="11">
        <v>534</v>
      </c>
      <c r="M91" s="11"/>
      <c r="N91" s="11"/>
      <c r="O91" s="11">
        <v>5736.12</v>
      </c>
      <c r="P91" s="11">
        <v>5628.36</v>
      </c>
      <c r="Q91" s="11">
        <v>2340</v>
      </c>
      <c r="R91" s="11">
        <v>1253</v>
      </c>
      <c r="S91" s="11">
        <v>1734.4</v>
      </c>
      <c r="T91" s="11"/>
      <c r="U91" s="11">
        <v>1585</v>
      </c>
    </row>
    <row r="92" spans="1:21" x14ac:dyDescent="0.25">
      <c r="A92" s="10">
        <v>22000</v>
      </c>
      <c r="B92" s="10">
        <v>22500</v>
      </c>
      <c r="C92" s="10" t="str">
        <f>IF(AND(Rekentool!$E$53&gt;=A92,Rekentool!$E$53&lt;B92),"Ja","Nee")</f>
        <v>Nee</v>
      </c>
      <c r="D92" s="11">
        <f t="shared" si="18"/>
        <v>1083.3600000000001</v>
      </c>
      <c r="E92" s="11">
        <v>1332.48</v>
      </c>
      <c r="F92" s="11">
        <v>1332.48</v>
      </c>
      <c r="G92" s="11">
        <v>2777</v>
      </c>
      <c r="H92" s="11">
        <v>3200</v>
      </c>
      <c r="I92" s="11">
        <f t="shared" si="19"/>
        <v>2460</v>
      </c>
      <c r="J92" s="11">
        <f t="shared" si="16"/>
        <v>660</v>
      </c>
      <c r="K92" s="11">
        <v>3200</v>
      </c>
      <c r="L92" s="11">
        <v>534</v>
      </c>
      <c r="M92" s="11"/>
      <c r="N92" s="11"/>
      <c r="O92" s="11">
        <v>5736.12</v>
      </c>
      <c r="P92" s="11">
        <v>5628.36</v>
      </c>
      <c r="Q92" s="11">
        <v>2340</v>
      </c>
      <c r="R92" s="11">
        <v>1253</v>
      </c>
      <c r="S92" s="11">
        <v>1734.4</v>
      </c>
      <c r="T92" s="11"/>
      <c r="U92" s="11">
        <v>1621</v>
      </c>
    </row>
    <row r="93" spans="1:21" x14ac:dyDescent="0.25">
      <c r="A93" s="10">
        <v>22500</v>
      </c>
      <c r="B93" s="10">
        <v>23000</v>
      </c>
      <c r="C93" s="10" t="str">
        <f>IF(AND(Rekentool!$E$53&gt;=A93,Rekentool!$E$53&lt;B93),"Ja","Nee")</f>
        <v>Nee</v>
      </c>
      <c r="D93" s="11">
        <f t="shared" si="18"/>
        <v>1083.3600000000001</v>
      </c>
      <c r="E93" s="11">
        <v>1332.48</v>
      </c>
      <c r="F93" s="11">
        <v>1332.48</v>
      </c>
      <c r="G93" s="11">
        <v>2777</v>
      </c>
      <c r="H93" s="11">
        <v>3200</v>
      </c>
      <c r="I93" s="11">
        <f t="shared" si="19"/>
        <v>2460</v>
      </c>
      <c r="J93" s="11">
        <f t="shared" si="16"/>
        <v>660</v>
      </c>
      <c r="K93" s="11">
        <v>3200</v>
      </c>
      <c r="L93" s="11">
        <v>534</v>
      </c>
      <c r="M93" s="11"/>
      <c r="N93" s="11"/>
      <c r="O93" s="11">
        <v>5736.12</v>
      </c>
      <c r="P93" s="11">
        <v>5628.36</v>
      </c>
      <c r="Q93" s="11">
        <v>2610</v>
      </c>
      <c r="R93" s="11">
        <v>1253</v>
      </c>
      <c r="S93" s="11">
        <v>1734.4</v>
      </c>
      <c r="T93" s="11"/>
      <c r="U93" s="11">
        <v>1658</v>
      </c>
    </row>
    <row r="94" spans="1:21" x14ac:dyDescent="0.25">
      <c r="A94" s="10">
        <v>23000</v>
      </c>
      <c r="B94" s="10">
        <v>23500</v>
      </c>
      <c r="C94" s="10" t="str">
        <f>IF(AND(Rekentool!$E$53&gt;=A94,Rekentool!$E$53&lt;B94),"Ja","Nee")</f>
        <v>Nee</v>
      </c>
      <c r="D94" s="11">
        <f t="shared" si="18"/>
        <v>1083.3600000000001</v>
      </c>
      <c r="E94" s="11">
        <v>1332.48</v>
      </c>
      <c r="F94" s="11">
        <v>1332.48</v>
      </c>
      <c r="G94" s="11">
        <v>2901</v>
      </c>
      <c r="H94" s="11">
        <v>3200</v>
      </c>
      <c r="I94" s="11">
        <f t="shared" si="19"/>
        <v>2460</v>
      </c>
      <c r="J94" s="11">
        <f t="shared" si="16"/>
        <v>660</v>
      </c>
      <c r="K94" s="11">
        <v>3200</v>
      </c>
      <c r="L94" s="11">
        <v>534</v>
      </c>
      <c r="M94" s="11"/>
      <c r="N94" s="11"/>
      <c r="O94" s="11">
        <v>5736.12</v>
      </c>
      <c r="P94" s="11">
        <v>5628.36</v>
      </c>
      <c r="Q94" s="11">
        <v>2610</v>
      </c>
      <c r="R94" s="11">
        <v>1253</v>
      </c>
      <c r="S94" s="11">
        <v>1734.4</v>
      </c>
      <c r="T94" s="11"/>
      <c r="U94" s="11">
        <v>1694</v>
      </c>
    </row>
    <row r="95" spans="1:21" x14ac:dyDescent="0.25">
      <c r="A95" s="10">
        <v>23500</v>
      </c>
      <c r="B95" s="10">
        <v>24000</v>
      </c>
      <c r="C95" s="10" t="str">
        <f>IF(AND(Rekentool!$E$53&gt;=A95,Rekentool!$E$53&lt;B95),"Ja","Nee")</f>
        <v>Nee</v>
      </c>
      <c r="D95" s="11">
        <f t="shared" si="18"/>
        <v>1083.3600000000001</v>
      </c>
      <c r="E95" s="11">
        <v>1332.48</v>
      </c>
      <c r="F95" s="11">
        <v>1332.48</v>
      </c>
      <c r="G95" s="11">
        <v>2901</v>
      </c>
      <c r="H95" s="11">
        <v>3200</v>
      </c>
      <c r="I95" s="11">
        <f t="shared" si="19"/>
        <v>2460</v>
      </c>
      <c r="J95" s="11">
        <f t="shared" si="16"/>
        <v>660</v>
      </c>
      <c r="K95" s="11">
        <v>3200</v>
      </c>
      <c r="L95" s="11">
        <v>534</v>
      </c>
      <c r="M95" s="11"/>
      <c r="N95" s="11"/>
      <c r="O95" s="11">
        <v>5736.12</v>
      </c>
      <c r="P95" s="11">
        <v>5628.36</v>
      </c>
      <c r="Q95" s="11">
        <v>2610</v>
      </c>
      <c r="R95" s="11">
        <v>1253</v>
      </c>
      <c r="S95" s="11">
        <v>1734.4</v>
      </c>
      <c r="T95" s="11"/>
      <c r="U95" s="11">
        <v>1730</v>
      </c>
    </row>
    <row r="96" spans="1:21" x14ac:dyDescent="0.25">
      <c r="A96" s="10">
        <v>24000</v>
      </c>
      <c r="B96" s="10">
        <v>25000</v>
      </c>
      <c r="C96" s="10" t="str">
        <f>IF(AND(Rekentool!$E$53&gt;=A96,Rekentool!$E$53&lt;B96),"Ja","Nee")</f>
        <v>Nee</v>
      </c>
      <c r="D96" s="11">
        <f t="shared" si="18"/>
        <v>1083.3600000000001</v>
      </c>
      <c r="E96" s="11">
        <v>1332.48</v>
      </c>
      <c r="F96" s="11">
        <v>1332.48</v>
      </c>
      <c r="G96" s="11">
        <v>3023</v>
      </c>
      <c r="H96" s="11">
        <v>3200</v>
      </c>
      <c r="I96" s="11">
        <f t="shared" si="19"/>
        <v>2460</v>
      </c>
      <c r="J96" s="11">
        <f t="shared" si="16"/>
        <v>660</v>
      </c>
      <c r="K96" s="11">
        <v>3200</v>
      </c>
      <c r="L96" s="11">
        <v>534</v>
      </c>
      <c r="M96" s="11"/>
      <c r="N96" s="11"/>
      <c r="O96" s="11">
        <v>5736.12</v>
      </c>
      <c r="P96" s="11">
        <v>5628.36</v>
      </c>
      <c r="Q96" s="11">
        <v>2610</v>
      </c>
      <c r="R96" s="11">
        <v>1253</v>
      </c>
      <c r="S96" s="11">
        <v>1734.4</v>
      </c>
      <c r="T96" s="11"/>
      <c r="U96" s="11"/>
    </row>
    <row r="97" spans="1:21" x14ac:dyDescent="0.25">
      <c r="A97" s="10">
        <v>25000</v>
      </c>
      <c r="B97" s="10">
        <v>26000</v>
      </c>
      <c r="C97" s="10" t="str">
        <f>IF(AND(Rekentool!$E$53&gt;=A97,Rekentool!$E$53&lt;B97),"Ja","Nee")</f>
        <v>Nee</v>
      </c>
      <c r="D97" s="11">
        <f t="shared" si="18"/>
        <v>1083.3600000000001</v>
      </c>
      <c r="E97" s="11">
        <v>1332.48</v>
      </c>
      <c r="F97" s="11">
        <v>1332.48</v>
      </c>
      <c r="G97" s="11">
        <v>3023</v>
      </c>
      <c r="H97" s="11">
        <v>3200</v>
      </c>
      <c r="I97" s="11">
        <f t="shared" si="19"/>
        <v>2460</v>
      </c>
      <c r="J97" s="11">
        <f t="shared" si="16"/>
        <v>660</v>
      </c>
      <c r="K97" s="11">
        <v>3200</v>
      </c>
      <c r="L97" s="11">
        <v>534</v>
      </c>
      <c r="M97" s="11"/>
      <c r="N97" s="11"/>
      <c r="O97" s="11">
        <v>5736.12</v>
      </c>
      <c r="P97" s="11">
        <v>5628.36</v>
      </c>
      <c r="Q97" s="11">
        <v>2890</v>
      </c>
      <c r="R97" s="11">
        <v>1253</v>
      </c>
      <c r="S97" s="11">
        <v>2119.6999999999998</v>
      </c>
      <c r="T97" s="11"/>
      <c r="U97" s="11"/>
    </row>
    <row r="98" spans="1:21" x14ac:dyDescent="0.25">
      <c r="A98" s="10">
        <v>26000</v>
      </c>
      <c r="B98" s="10">
        <v>27000</v>
      </c>
      <c r="C98" s="10" t="str">
        <f>IF(AND(Rekentool!$E$53&gt;=A98,Rekentool!$E$53&lt;B98),"Ja","Nee")</f>
        <v>Nee</v>
      </c>
      <c r="D98" s="11">
        <f t="shared" si="18"/>
        <v>1083.3600000000001</v>
      </c>
      <c r="E98" s="11">
        <v>1332.48</v>
      </c>
      <c r="F98" s="11">
        <v>1332.48</v>
      </c>
      <c r="G98" s="11">
        <v>3270</v>
      </c>
      <c r="H98" s="11">
        <v>3200</v>
      </c>
      <c r="I98" s="11">
        <f t="shared" si="19"/>
        <v>2460</v>
      </c>
      <c r="J98" s="11">
        <f t="shared" si="16"/>
        <v>660</v>
      </c>
      <c r="K98" s="11">
        <v>3200</v>
      </c>
      <c r="L98" s="11">
        <v>534</v>
      </c>
      <c r="M98" s="11"/>
      <c r="N98" s="11"/>
      <c r="O98" s="11">
        <v>5736.12</v>
      </c>
      <c r="P98" s="11">
        <v>5628.36</v>
      </c>
      <c r="Q98" s="11">
        <v>2890</v>
      </c>
      <c r="R98" s="11">
        <v>1253</v>
      </c>
      <c r="S98" s="11">
        <v>2119.6999999999998</v>
      </c>
      <c r="T98" s="11"/>
      <c r="U98" s="11"/>
    </row>
    <row r="99" spans="1:21" x14ac:dyDescent="0.25">
      <c r="A99" s="10">
        <v>27000</v>
      </c>
      <c r="B99" s="10">
        <v>28000</v>
      </c>
      <c r="C99" s="10" t="str">
        <f>IF(AND(Rekentool!$E$53&gt;=A99,Rekentool!$E$53&lt;B99),"Ja","Nee")</f>
        <v>Nee</v>
      </c>
      <c r="D99" s="11">
        <f t="shared" si="18"/>
        <v>1083.3600000000001</v>
      </c>
      <c r="E99" s="11">
        <v>1332.48</v>
      </c>
      <c r="F99" s="11">
        <v>1332.48</v>
      </c>
      <c r="G99" s="11">
        <v>3270</v>
      </c>
      <c r="H99" s="11">
        <v>3200</v>
      </c>
      <c r="I99" s="11">
        <f t="shared" si="19"/>
        <v>2460</v>
      </c>
      <c r="J99" s="11">
        <f t="shared" si="16"/>
        <v>660</v>
      </c>
      <c r="K99" s="11">
        <v>3200</v>
      </c>
      <c r="L99" s="11">
        <v>534</v>
      </c>
      <c r="M99" s="11"/>
      <c r="N99" s="11"/>
      <c r="O99" s="11">
        <v>5736.12</v>
      </c>
      <c r="P99" s="11">
        <v>5628.36</v>
      </c>
      <c r="Q99" s="11">
        <v>2890</v>
      </c>
      <c r="R99" s="11">
        <v>1253</v>
      </c>
      <c r="S99" s="11">
        <v>2119.6999999999998</v>
      </c>
      <c r="T99" s="11"/>
      <c r="U99" s="11"/>
    </row>
    <row r="100" spans="1:21" x14ac:dyDescent="0.25">
      <c r="A100" s="10">
        <v>28000</v>
      </c>
      <c r="B100" s="10">
        <v>29000</v>
      </c>
      <c r="C100" s="10" t="str">
        <f>IF(AND(Rekentool!$E$53&gt;=A100,Rekentool!$E$53&lt;B100),"Ja","Nee")</f>
        <v>Nee</v>
      </c>
      <c r="D100" s="11">
        <f t="shared" si="18"/>
        <v>1083.3600000000001</v>
      </c>
      <c r="E100" s="11">
        <v>1332.48</v>
      </c>
      <c r="F100" s="11">
        <v>1332.48</v>
      </c>
      <c r="G100" s="11">
        <v>3517</v>
      </c>
      <c r="H100" s="11">
        <v>3200</v>
      </c>
      <c r="I100" s="11">
        <f t="shared" si="19"/>
        <v>2460</v>
      </c>
      <c r="J100" s="11">
        <f t="shared" si="16"/>
        <v>660</v>
      </c>
      <c r="K100" s="11">
        <v>3200</v>
      </c>
      <c r="L100" s="11">
        <v>534</v>
      </c>
      <c r="M100" s="11"/>
      <c r="N100" s="11"/>
      <c r="O100" s="11">
        <v>5736.12</v>
      </c>
      <c r="P100" s="11">
        <v>5628.36</v>
      </c>
      <c r="Q100" s="11">
        <v>3160</v>
      </c>
      <c r="R100" s="11">
        <v>1253</v>
      </c>
      <c r="S100" s="11">
        <v>2119.6999999999998</v>
      </c>
      <c r="T100" s="11"/>
      <c r="U100" s="11"/>
    </row>
    <row r="101" spans="1:21" x14ac:dyDescent="0.25">
      <c r="A101" s="10">
        <v>29000</v>
      </c>
      <c r="B101" s="10">
        <v>30000</v>
      </c>
      <c r="C101" s="10" t="str">
        <f>IF(AND(Rekentool!$E$53&gt;=A101,Rekentool!$E$53&lt;B101),"Ja","Nee")</f>
        <v>Nee</v>
      </c>
      <c r="D101" s="11">
        <f t="shared" si="18"/>
        <v>1083.3600000000001</v>
      </c>
      <c r="E101" s="11">
        <v>1332.48</v>
      </c>
      <c r="F101" s="11">
        <v>1332.48</v>
      </c>
      <c r="G101" s="11">
        <v>3517</v>
      </c>
      <c r="H101" s="11">
        <v>3200</v>
      </c>
      <c r="I101" s="11">
        <f t="shared" si="19"/>
        <v>2460</v>
      </c>
      <c r="J101" s="11">
        <f t="shared" si="16"/>
        <v>660</v>
      </c>
      <c r="K101" s="11">
        <v>3200</v>
      </c>
      <c r="L101" s="11">
        <v>534</v>
      </c>
      <c r="M101" s="11"/>
      <c r="N101" s="11"/>
      <c r="O101" s="11">
        <v>5736.12</v>
      </c>
      <c r="P101" s="11">
        <v>5628.36</v>
      </c>
      <c r="Q101" s="11">
        <v>3160</v>
      </c>
      <c r="R101" s="11">
        <v>1253</v>
      </c>
      <c r="S101" s="11">
        <v>2119.6999999999998</v>
      </c>
      <c r="T101" s="11"/>
      <c r="U101" s="11"/>
    </row>
    <row r="102" spans="1:21" x14ac:dyDescent="0.25">
      <c r="A102" s="10">
        <v>30000</v>
      </c>
      <c r="B102" s="10">
        <v>35000</v>
      </c>
      <c r="C102" s="10" t="str">
        <f>IF(AND(Rekentool!$E$53&gt;=A102,Rekentool!$E$53&lt;B102),"Ja","Nee")</f>
        <v>Nee</v>
      </c>
      <c r="D102" s="11">
        <f t="shared" si="18"/>
        <v>1083.3600000000001</v>
      </c>
      <c r="E102" s="11">
        <v>1332.48</v>
      </c>
      <c r="F102" s="11">
        <v>1332.48</v>
      </c>
      <c r="G102" s="11">
        <v>4011</v>
      </c>
      <c r="H102" s="11">
        <v>3200</v>
      </c>
      <c r="I102" s="11">
        <f t="shared" si="19"/>
        <v>2460</v>
      </c>
      <c r="J102" s="11">
        <f t="shared" si="16"/>
        <v>660</v>
      </c>
      <c r="K102" s="11">
        <v>3200</v>
      </c>
      <c r="L102" s="11">
        <v>534</v>
      </c>
      <c r="M102" s="11"/>
      <c r="N102" s="11"/>
      <c r="O102" s="11">
        <v>5736.12</v>
      </c>
      <c r="P102" s="11">
        <v>5628.36</v>
      </c>
      <c r="Q102" s="11">
        <v>3160</v>
      </c>
      <c r="R102" s="11">
        <v>1253</v>
      </c>
      <c r="S102" s="11">
        <v>2119.6999999999998</v>
      </c>
      <c r="T102" s="11"/>
      <c r="U102" s="11"/>
    </row>
    <row r="103" spans="1:21" x14ac:dyDescent="0.25">
      <c r="A103" s="10">
        <v>35000</v>
      </c>
      <c r="B103" s="10">
        <v>40000</v>
      </c>
      <c r="C103" s="10" t="str">
        <f>IF(AND(Rekentool!$E$53&gt;=A103,Rekentool!$E$53&lt;B103),"Ja","Nee")</f>
        <v>Nee</v>
      </c>
      <c r="D103" s="11">
        <f t="shared" si="18"/>
        <v>1083.3600000000001</v>
      </c>
      <c r="E103" s="11">
        <v>1332.48</v>
      </c>
      <c r="F103" s="11">
        <v>1332.48</v>
      </c>
      <c r="G103" s="11">
        <v>4011</v>
      </c>
      <c r="H103" s="11">
        <v>3200</v>
      </c>
      <c r="I103" s="11">
        <f t="shared" si="19"/>
        <v>2460</v>
      </c>
      <c r="J103" s="11">
        <f t="shared" si="16"/>
        <v>660</v>
      </c>
      <c r="K103" s="11">
        <v>3200</v>
      </c>
      <c r="L103" s="11">
        <v>534</v>
      </c>
      <c r="M103" s="11"/>
      <c r="N103" s="11"/>
      <c r="O103" s="11">
        <v>5736.12</v>
      </c>
      <c r="P103" s="11">
        <v>5628.36</v>
      </c>
      <c r="Q103" s="11">
        <v>3400</v>
      </c>
      <c r="R103" s="11">
        <v>1253</v>
      </c>
      <c r="S103" s="11">
        <v>2119.6999999999998</v>
      </c>
      <c r="T103" s="11"/>
      <c r="U103" s="11"/>
    </row>
    <row r="104" spans="1:21" x14ac:dyDescent="0.25">
      <c r="A104" s="10">
        <v>40000</v>
      </c>
      <c r="B104" s="10">
        <v>45000</v>
      </c>
      <c r="C104" s="10" t="str">
        <f>IF(AND(Rekentool!$E$53&gt;=A104,Rekentool!$E$53&lt;B104),"Ja","Nee")</f>
        <v>Nee</v>
      </c>
      <c r="D104" s="11">
        <f t="shared" si="18"/>
        <v>1083.3600000000001</v>
      </c>
      <c r="E104" s="11">
        <v>1332.48</v>
      </c>
      <c r="F104" s="11">
        <v>1332.48</v>
      </c>
      <c r="G104" s="11">
        <v>5245</v>
      </c>
      <c r="H104" s="11">
        <v>3200</v>
      </c>
      <c r="I104" s="11">
        <f t="shared" si="19"/>
        <v>2460</v>
      </c>
      <c r="J104" s="11">
        <f t="shared" si="16"/>
        <v>660</v>
      </c>
      <c r="K104" s="11">
        <v>3200</v>
      </c>
      <c r="L104" s="11">
        <v>534</v>
      </c>
      <c r="M104" s="11"/>
      <c r="N104" s="11"/>
      <c r="O104" s="11">
        <v>5736.12</v>
      </c>
      <c r="P104" s="11">
        <v>5628.36</v>
      </c>
      <c r="Q104" s="11">
        <v>3400</v>
      </c>
      <c r="R104" s="11">
        <v>1253</v>
      </c>
      <c r="S104" s="11">
        <v>2119.6999999999998</v>
      </c>
      <c r="T104" s="11"/>
      <c r="U104" s="11"/>
    </row>
    <row r="105" spans="1:21" x14ac:dyDescent="0.25">
      <c r="A105" s="10">
        <v>45000</v>
      </c>
      <c r="B105" s="10">
        <v>50000</v>
      </c>
      <c r="C105" s="10" t="str">
        <f>IF(AND(Rekentool!$E$53&gt;=A105,Rekentool!$E$53&lt;B105),"Ja","Nee")</f>
        <v>Nee</v>
      </c>
      <c r="D105" s="11">
        <f t="shared" si="18"/>
        <v>1083.3600000000001</v>
      </c>
      <c r="E105" s="11">
        <v>1332.48</v>
      </c>
      <c r="F105" s="11">
        <v>1332.48</v>
      </c>
      <c r="G105" s="11">
        <v>5862</v>
      </c>
      <c r="H105" s="11">
        <v>3200</v>
      </c>
      <c r="I105" s="11">
        <f t="shared" si="19"/>
        <v>2460</v>
      </c>
      <c r="J105" s="11">
        <f t="shared" si="16"/>
        <v>660</v>
      </c>
      <c r="K105" s="11">
        <v>3200</v>
      </c>
      <c r="L105" s="11">
        <v>534</v>
      </c>
      <c r="M105" s="11"/>
      <c r="N105" s="11"/>
      <c r="O105" s="11">
        <v>5736.12</v>
      </c>
      <c r="P105" s="11">
        <v>5628.36</v>
      </c>
      <c r="Q105" s="11">
        <v>3400</v>
      </c>
      <c r="R105" s="11">
        <v>1253</v>
      </c>
      <c r="S105" s="11">
        <v>2119.6999999999998</v>
      </c>
      <c r="T105" s="11"/>
      <c r="U105" s="11"/>
    </row>
    <row r="106" spans="1:21" x14ac:dyDescent="0.25">
      <c r="A106" s="10">
        <v>50000</v>
      </c>
      <c r="B106" s="10">
        <v>55000</v>
      </c>
      <c r="C106" s="10" t="str">
        <f>IF(AND(Rekentool!$E$53&gt;=A106,Rekentool!$E$53&lt;B106),"Ja","Nee")</f>
        <v>Nee</v>
      </c>
      <c r="D106" s="11">
        <f t="shared" si="18"/>
        <v>1083.3600000000001</v>
      </c>
      <c r="E106" s="11">
        <v>1332.48</v>
      </c>
      <c r="F106" s="11">
        <v>1332.48</v>
      </c>
      <c r="G106" s="11">
        <v>6480</v>
      </c>
      <c r="H106" s="11">
        <v>3200</v>
      </c>
      <c r="I106" s="11">
        <f t="shared" si="19"/>
        <v>2460</v>
      </c>
      <c r="J106" s="11">
        <f t="shared" si="16"/>
        <v>660</v>
      </c>
      <c r="K106" s="11">
        <v>3200</v>
      </c>
      <c r="L106" s="11">
        <v>534</v>
      </c>
      <c r="M106" s="11"/>
      <c r="N106" s="11"/>
      <c r="O106" s="11">
        <v>5736.12</v>
      </c>
      <c r="P106" s="11">
        <v>5628.36</v>
      </c>
      <c r="Q106" s="11">
        <v>3400</v>
      </c>
      <c r="R106" s="11">
        <v>1253</v>
      </c>
      <c r="S106" s="11">
        <v>2119.6999999999998</v>
      </c>
      <c r="T106" s="11"/>
      <c r="U106" s="11"/>
    </row>
    <row r="107" spans="1:21" x14ac:dyDescent="0.25">
      <c r="A107" s="10">
        <v>55000</v>
      </c>
      <c r="B107" s="10">
        <v>60000</v>
      </c>
      <c r="C107" s="10" t="str">
        <f>IF(AND(Rekentool!$E$53&gt;=A107,Rekentool!$E$53&lt;B107),"Ja","Nee")</f>
        <v>Nee</v>
      </c>
      <c r="D107" s="11">
        <f t="shared" si="18"/>
        <v>1083.3600000000001</v>
      </c>
      <c r="E107" s="11">
        <v>1332.48</v>
      </c>
      <c r="F107" s="11">
        <v>1332.48</v>
      </c>
      <c r="G107" s="11">
        <v>7096</v>
      </c>
      <c r="H107" s="11">
        <v>3200</v>
      </c>
      <c r="I107" s="11">
        <f t="shared" si="19"/>
        <v>2460</v>
      </c>
      <c r="J107" s="11">
        <f t="shared" si="16"/>
        <v>660</v>
      </c>
      <c r="K107" s="11">
        <v>3200</v>
      </c>
      <c r="L107" s="11">
        <v>534</v>
      </c>
      <c r="M107" s="11"/>
      <c r="N107" s="11"/>
      <c r="O107" s="11">
        <v>5736.12</v>
      </c>
      <c r="P107" s="11">
        <v>5628.36</v>
      </c>
      <c r="Q107" s="11">
        <v>3400</v>
      </c>
      <c r="R107" s="11">
        <v>1253</v>
      </c>
      <c r="S107" s="11">
        <v>2119.6999999999998</v>
      </c>
      <c r="T107" s="11"/>
      <c r="U107" s="11"/>
    </row>
    <row r="108" spans="1:21" x14ac:dyDescent="0.25">
      <c r="A108" s="10">
        <v>60000</v>
      </c>
      <c r="B108" s="10">
        <v>65000</v>
      </c>
      <c r="C108" s="10" t="str">
        <f>IF(AND(Rekentool!$E$53&gt;=A108,Rekentool!$E$53&lt;B108),"Ja","Nee")</f>
        <v>Nee</v>
      </c>
      <c r="D108" s="11">
        <f t="shared" si="18"/>
        <v>1083.3600000000001</v>
      </c>
      <c r="E108" s="11">
        <v>1332.48</v>
      </c>
      <c r="F108" s="11">
        <v>1332.48</v>
      </c>
      <c r="G108" s="11">
        <v>7713</v>
      </c>
      <c r="H108" s="11">
        <v>3200</v>
      </c>
      <c r="I108" s="11">
        <f t="shared" si="19"/>
        <v>2460</v>
      </c>
      <c r="J108" s="11">
        <f t="shared" si="16"/>
        <v>660</v>
      </c>
      <c r="K108" s="11">
        <v>3200</v>
      </c>
      <c r="L108" s="11">
        <v>534</v>
      </c>
      <c r="M108" s="11"/>
      <c r="N108" s="11"/>
      <c r="O108" s="11">
        <v>5736.12</v>
      </c>
      <c r="P108" s="11">
        <v>5628.36</v>
      </c>
      <c r="Q108" s="11">
        <v>3400</v>
      </c>
      <c r="R108" s="11">
        <v>1253</v>
      </c>
      <c r="S108" s="11">
        <v>2119.6999999999998</v>
      </c>
      <c r="T108" s="11"/>
      <c r="U108" s="11"/>
    </row>
    <row r="109" spans="1:21" x14ac:dyDescent="0.25">
      <c r="A109" s="10">
        <v>65000</v>
      </c>
      <c r="B109" s="10">
        <v>70000</v>
      </c>
      <c r="C109" s="10" t="str">
        <f>IF(AND(Rekentool!$E$53&gt;=A109,Rekentool!$E$53&lt;B109),"Ja","Nee")</f>
        <v>Nee</v>
      </c>
      <c r="D109" s="11">
        <f t="shared" si="18"/>
        <v>1083.3600000000001</v>
      </c>
      <c r="E109" s="11">
        <v>1332.48</v>
      </c>
      <c r="F109" s="11">
        <v>1332.48</v>
      </c>
      <c r="G109" s="11">
        <v>8330</v>
      </c>
      <c r="H109" s="11">
        <v>3200</v>
      </c>
      <c r="I109" s="11">
        <f t="shared" si="19"/>
        <v>2460</v>
      </c>
      <c r="J109" s="11">
        <f t="shared" si="16"/>
        <v>660</v>
      </c>
      <c r="K109" s="11">
        <v>3200</v>
      </c>
      <c r="L109" s="11">
        <v>534</v>
      </c>
      <c r="M109" s="11"/>
      <c r="N109" s="11"/>
      <c r="O109" s="11">
        <v>5736.12</v>
      </c>
      <c r="P109" s="11">
        <v>5628.36</v>
      </c>
      <c r="Q109" s="11">
        <v>3400</v>
      </c>
      <c r="R109" s="11">
        <v>1253</v>
      </c>
      <c r="S109" s="11">
        <v>2119.6999999999998</v>
      </c>
      <c r="T109" s="11"/>
      <c r="U109" s="11"/>
    </row>
    <row r="110" spans="1:21" x14ac:dyDescent="0.25">
      <c r="A110" s="10">
        <v>70000</v>
      </c>
      <c r="B110" s="10">
        <v>75000</v>
      </c>
      <c r="C110" s="10" t="str">
        <f>IF(AND(Rekentool!$E$53&gt;=A110,Rekentool!$E$53&lt;B110),"Ja","Nee")</f>
        <v>Nee</v>
      </c>
      <c r="D110" s="11">
        <f t="shared" si="18"/>
        <v>1083.3600000000001</v>
      </c>
      <c r="E110" s="11">
        <v>1332.48</v>
      </c>
      <c r="F110" s="11">
        <v>1332.48</v>
      </c>
      <c r="G110" s="11">
        <v>8948</v>
      </c>
      <c r="H110" s="11">
        <v>3200</v>
      </c>
      <c r="I110" s="11">
        <f t="shared" si="19"/>
        <v>2460</v>
      </c>
      <c r="J110" s="11">
        <f t="shared" si="16"/>
        <v>660</v>
      </c>
      <c r="K110" s="11">
        <v>3200</v>
      </c>
      <c r="L110" s="11">
        <v>534</v>
      </c>
      <c r="M110" s="11"/>
      <c r="N110" s="11"/>
      <c r="O110" s="11">
        <v>5736.12</v>
      </c>
      <c r="P110" s="11">
        <v>5628.36</v>
      </c>
      <c r="Q110" s="11">
        <v>3400</v>
      </c>
      <c r="R110" s="11">
        <v>1253</v>
      </c>
      <c r="S110" s="11">
        <v>2119.6999999999998</v>
      </c>
      <c r="T110" s="11"/>
      <c r="U110" s="11"/>
    </row>
    <row r="111" spans="1:21" x14ac:dyDescent="0.25">
      <c r="A111" s="10">
        <v>75000</v>
      </c>
      <c r="B111" s="10">
        <v>80000</v>
      </c>
      <c r="C111" s="10" t="str">
        <f>IF(AND(Rekentool!$E$53&gt;=A111,Rekentool!$E$53&lt;B111),"Ja","Nee")</f>
        <v>Nee</v>
      </c>
      <c r="D111" s="11">
        <f t="shared" si="18"/>
        <v>1083.3600000000001</v>
      </c>
      <c r="E111" s="11">
        <v>1332.48</v>
      </c>
      <c r="F111" s="11">
        <v>1332.48</v>
      </c>
      <c r="G111" s="11">
        <v>9565</v>
      </c>
      <c r="H111" s="11">
        <v>3200</v>
      </c>
      <c r="I111" s="11">
        <f t="shared" si="19"/>
        <v>2460</v>
      </c>
      <c r="J111" s="11">
        <f t="shared" si="16"/>
        <v>660</v>
      </c>
      <c r="K111" s="11">
        <v>3200</v>
      </c>
      <c r="L111" s="11">
        <v>534</v>
      </c>
      <c r="M111" s="11"/>
      <c r="N111" s="11"/>
      <c r="O111" s="11">
        <v>5736.12</v>
      </c>
      <c r="P111" s="11">
        <v>5628.36</v>
      </c>
      <c r="Q111" s="11">
        <v>3400</v>
      </c>
      <c r="R111" s="11">
        <v>1253</v>
      </c>
      <c r="S111" s="11">
        <v>2119.6999999999998</v>
      </c>
      <c r="T111" s="11"/>
      <c r="U111" s="11"/>
    </row>
    <row r="112" spans="1:21" x14ac:dyDescent="0.25">
      <c r="A112" s="10">
        <v>80000</v>
      </c>
      <c r="B112" s="10">
        <v>85000</v>
      </c>
      <c r="C112" s="10" t="str">
        <f>IF(AND(Rekentool!$E$53&gt;=A112,Rekentool!$E$53&lt;B112),"Ja","Nee")</f>
        <v>Nee</v>
      </c>
      <c r="D112" s="11">
        <f t="shared" si="18"/>
        <v>1083.3600000000001</v>
      </c>
      <c r="E112" s="11">
        <v>1332.48</v>
      </c>
      <c r="F112" s="11">
        <v>1332.48</v>
      </c>
      <c r="G112" s="11">
        <v>10182</v>
      </c>
      <c r="H112" s="11">
        <v>3200</v>
      </c>
      <c r="I112" s="11">
        <f t="shared" si="19"/>
        <v>2460</v>
      </c>
      <c r="J112" s="11">
        <f t="shared" si="16"/>
        <v>660</v>
      </c>
      <c r="K112" s="11">
        <v>3200</v>
      </c>
      <c r="L112" s="11">
        <v>534</v>
      </c>
      <c r="M112" s="11"/>
      <c r="N112" s="11"/>
      <c r="O112" s="11">
        <v>5736.12</v>
      </c>
      <c r="P112" s="11">
        <v>5628.36</v>
      </c>
      <c r="Q112" s="11">
        <v>3400</v>
      </c>
      <c r="R112" s="11">
        <v>1253</v>
      </c>
      <c r="S112" s="11">
        <v>2119.6999999999998</v>
      </c>
      <c r="T112" s="11"/>
      <c r="U112" s="11"/>
    </row>
    <row r="113" spans="1:21" x14ac:dyDescent="0.25">
      <c r="A113" s="10">
        <v>85000</v>
      </c>
      <c r="B113" s="10">
        <v>90000</v>
      </c>
      <c r="C113" s="10" t="str">
        <f>IF(AND(Rekentool!$E$53&gt;=A113,Rekentool!$E$53&lt;B113),"Ja","Nee")</f>
        <v>Nee</v>
      </c>
      <c r="D113" s="11">
        <f t="shared" si="18"/>
        <v>1083.3600000000001</v>
      </c>
      <c r="E113" s="11">
        <v>1332.48</v>
      </c>
      <c r="F113" s="11">
        <v>1332.48</v>
      </c>
      <c r="G113" s="11">
        <v>10799</v>
      </c>
      <c r="H113" s="11">
        <v>3200</v>
      </c>
      <c r="I113" s="11">
        <f t="shared" si="19"/>
        <v>2460</v>
      </c>
      <c r="J113" s="11">
        <f t="shared" ref="J113:J115" si="20">55*12</f>
        <v>660</v>
      </c>
      <c r="K113" s="11">
        <v>3200</v>
      </c>
      <c r="L113" s="11">
        <v>534</v>
      </c>
      <c r="M113" s="11"/>
      <c r="N113" s="11"/>
      <c r="O113" s="11">
        <v>5736.12</v>
      </c>
      <c r="P113" s="11">
        <v>5628.36</v>
      </c>
      <c r="Q113" s="11">
        <v>3400</v>
      </c>
      <c r="R113" s="11">
        <v>1253</v>
      </c>
      <c r="S113" s="11">
        <v>2119.6999999999998</v>
      </c>
      <c r="T113" s="11"/>
      <c r="U113" s="11"/>
    </row>
    <row r="114" spans="1:21" x14ac:dyDescent="0.25">
      <c r="A114" s="10">
        <v>90000</v>
      </c>
      <c r="B114" s="10">
        <v>95000</v>
      </c>
      <c r="C114" s="10" t="str">
        <f>IF(AND(Rekentool!$E$53&gt;=A114,Rekentool!$E$53&lt;B114),"Ja","Nee")</f>
        <v>Nee</v>
      </c>
      <c r="D114" s="11">
        <f t="shared" si="18"/>
        <v>1083.3600000000001</v>
      </c>
      <c r="E114" s="11">
        <v>1332.48</v>
      </c>
      <c r="F114" s="11">
        <v>1332.48</v>
      </c>
      <c r="G114" s="11">
        <v>11416</v>
      </c>
      <c r="H114" s="11">
        <v>3200</v>
      </c>
      <c r="I114" s="11">
        <f t="shared" si="19"/>
        <v>2460</v>
      </c>
      <c r="J114" s="11">
        <f t="shared" si="20"/>
        <v>660</v>
      </c>
      <c r="K114" s="11">
        <v>3200</v>
      </c>
      <c r="L114" s="11">
        <v>534</v>
      </c>
      <c r="M114" s="11"/>
      <c r="N114" s="11"/>
      <c r="O114" s="11">
        <v>5736.12</v>
      </c>
      <c r="P114" s="11">
        <v>5628.36</v>
      </c>
      <c r="Q114" s="11">
        <v>3400</v>
      </c>
      <c r="R114" s="11">
        <v>1253</v>
      </c>
      <c r="S114" s="11">
        <v>2119.6999999999998</v>
      </c>
      <c r="T114" s="11"/>
      <c r="U114" s="11"/>
    </row>
    <row r="115" spans="1:21" x14ac:dyDescent="0.25">
      <c r="A115" s="10">
        <v>95000</v>
      </c>
      <c r="B115" s="10">
        <v>100000</v>
      </c>
      <c r="C115" s="10" t="str">
        <f>IF(AND(Rekentool!$E$53&gt;=A115,Rekentool!$E$53&lt;B115),"Ja","Nee")</f>
        <v>Nee</v>
      </c>
      <c r="D115" s="11">
        <f t="shared" si="18"/>
        <v>1083.3600000000001</v>
      </c>
      <c r="E115" s="11">
        <v>1332.48</v>
      </c>
      <c r="F115" s="11">
        <v>1332.48</v>
      </c>
      <c r="G115" s="11">
        <v>12033</v>
      </c>
      <c r="H115" s="11">
        <v>3200</v>
      </c>
      <c r="I115" s="11">
        <f t="shared" si="19"/>
        <v>2460</v>
      </c>
      <c r="J115" s="11">
        <f t="shared" si="20"/>
        <v>660</v>
      </c>
      <c r="K115" s="11">
        <v>3200</v>
      </c>
      <c r="L115" s="11">
        <v>534</v>
      </c>
      <c r="M115" s="11"/>
      <c r="N115" s="11"/>
      <c r="O115" s="11">
        <v>5736.12</v>
      </c>
      <c r="P115" s="11">
        <v>5628.36</v>
      </c>
      <c r="Q115" s="11">
        <v>3400</v>
      </c>
      <c r="R115" s="11">
        <v>1253</v>
      </c>
      <c r="S115" s="11">
        <v>2119.6999999999998</v>
      </c>
      <c r="T115" s="11"/>
      <c r="U115" s="11"/>
    </row>
  </sheetData>
  <phoneticPr fontId="12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2 l w l W k z O A 9 G l A A A A 9 g A A A B I A H A B D b 2 5 m a W c v U G F j a 2 F n Z S 5 4 b W w g o h g A K K A U A A A A A A A A A A A A A A A A A A A A A A A A A A A A h Y + x D o I w F E V / h X S n L b A Q 8 q i J D i 6 S m J g Y 1 6 Z U a I S H o c X y b w 5 + k r 8 g R l E 3 x 3 v u G e 6 9 X 2 + w G N s m u O j e m g 5 z E l F O A o 2 q K w 1 W O R n c M U z J Q s B W q p O s d D D J a L P R l j m p n T t n j H n v q U 9 o 1 1 c s 5 j x i h 2 K z U 7 V u J f n I 5 r 8 c G r R O o t J E w P 4 1 R s Q 0 S l I a p Z x y Y D O E w u B X i K e 9 z / Y H w m p o 3 N B r o T F c L 4 H N E d j 7 g 3 g A U E s D B B Q A A g A I A N p c J V o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D a X C V a K I p H u A 4 A A A A R A A A A E w A c A E Z v c m 1 1 b G F z L 1 N l Y 3 R p b 2 4 x L m 0 g o h g A K K A U A A A A A A A A A A A A A A A A A A A A A A A A A A A A K 0 5 N L s n M z 1 M I h t C G 1 g B Q S w E C L Q A U A A I A C A D a X C V a T M 4 D 0 a U A A A D 2 A A A A E g A A A A A A A A A A A A A A A A A A A A A A Q 2 9 u Z m l n L 1 B h Y 2 t h Z 2 U u e G 1 s U E s B A i 0 A F A A C A A g A 2 l w l W g / K 6 a u k A A A A 6 Q A A A B M A A A A A A A A A A A A A A A A A 8 Q A A A F t D b 2 5 0 Z W 5 0 X 1 R 5 c G V z X S 5 4 b W x Q S w E C L Q A U A A I A C A D a X C V a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U J a P 2 B S O x k a 8 O 7 / B X N T Q P A A A A A A C A A A A A A A Q Z g A A A A E A A C A A A A C 4 r Q f c / 4 I p R O Q 6 4 j e V Y H t v I r e n 0 1 J R F L 2 M r D U V I Y 1 s J w A A A A A O g A A A A A I A A C A A A A D 8 E i i u 5 0 n L I u 9 O Z 2 R b g g X x 5 D s f L l g v w i Q C L F R X W P T b n F A A A A A t X K P A U X U e A 2 Y r g j n z 3 I S 6 r 6 R N s O A U M u u h u w B e S u l a t n l l 8 p I l V G m 8 s 4 6 Y E i r V n j N C n X g 4 e z k / A 3 V L d m R z F L F 3 x L 4 p U m E x Y / 6 I P R 1 g h E o X g k A A A A B I 2 D 4 d B + e 9 8 6 T E 9 R 8 Y M s S 9 M G m q m f Y l D y d 2 x j p K 8 y k F S 8 l L 0 b 6 Z h 6 T J h w f 9 j A / r i t 0 0 G 8 f y F 9 m 6 5 3 D 3 0 g 8 g 5 A P J < / D a t a M a s h u p > 
</file>

<file path=customXml/itemProps1.xml><?xml version="1.0" encoding="utf-8"?>
<ds:datastoreItem xmlns:ds="http://schemas.openxmlformats.org/officeDocument/2006/customXml" ds:itemID="{3B5D38D7-FBB2-4305-A26B-FB73D7ECD43D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4</vt:i4>
      </vt:variant>
    </vt:vector>
  </HeadingPairs>
  <TitlesOfParts>
    <vt:vector size="4" baseType="lpstr">
      <vt:lpstr>Rekentool</vt:lpstr>
      <vt:lpstr>Leveranciers</vt:lpstr>
      <vt:lpstr>Gebruiksaanwijzing</vt:lpstr>
      <vt:lpstr>Terugleverkosten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Rekeningoverzicht</dc:title>
  <dc:creator>Gerard</dc:creator>
  <cp:lastModifiedBy>Gerard van Lier</cp:lastModifiedBy>
  <cp:lastPrinted>2023-06-01T19:15:02Z</cp:lastPrinted>
  <dcterms:created xsi:type="dcterms:W3CDTF">1997-08-03T11:41:22Z</dcterms:created>
  <dcterms:modified xsi:type="dcterms:W3CDTF">2025-01-05T10:39:04Z</dcterms:modified>
</cp:coreProperties>
</file>