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/>
  <mc:AlternateContent xmlns:mc="http://schemas.openxmlformats.org/markup-compatibility/2006">
    <mc:Choice Requires="x15">
      <x15ac:absPath xmlns:x15ac="http://schemas.microsoft.com/office/spreadsheetml/2010/11/ac" url="https://d.docs.live.net/a58c75fb79813b81/Financieel (gedeeld)/Energie/"/>
    </mc:Choice>
  </mc:AlternateContent>
  <xr:revisionPtr revIDLastSave="38" documentId="8_{92130D1C-E96C-49FB-8F71-DF3D78DEDC04}" xr6:coauthVersionLast="47" xr6:coauthVersionMax="47" xr10:uidLastSave="{260314DE-0BF3-42E6-852C-DD19BFC47274}"/>
  <bookViews>
    <workbookView xWindow="-108" yWindow="-108" windowWidth="23256" windowHeight="12456" tabRatio="836" xr2:uid="{00000000-000D-0000-FFFF-FFFF00000000}"/>
  </bookViews>
  <sheets>
    <sheet name="Tarieven en Berekening" sheetId="45" r:id="rId1"/>
    <sheet name="Gebruiksaanwijzing" sheetId="46" r:id="rId2"/>
    <sheet name="Tabellen Terugleverkosten" sheetId="44" r:id="rId3"/>
  </sheets>
  <definedNames>
    <definedName name="_xlnm._FilterDatabase" localSheetId="0" hidden="1">'Tarieven en Berekening'!$B$3:$AF$33</definedName>
    <definedName name="aaa">#REF!</definedName>
    <definedName name="aov_premie">#REF!</definedName>
    <definedName name="belastingschijf_4">#REF!</definedName>
    <definedName name="belastingtarief_3">#REF!</definedName>
    <definedName name="belastingtarief_4">#REF!</definedName>
    <definedName name="eigenwoningforfait">#REF!</definedName>
    <definedName name="hypotheek_aflossing">#REF!</definedName>
    <definedName name="hypotheekrent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5" l="1"/>
  <c r="Y22" i="45"/>
  <c r="P22" i="45"/>
  <c r="O22" i="45"/>
  <c r="G17" i="45"/>
  <c r="G29" i="45"/>
  <c r="J115" i="44"/>
  <c r="J114" i="44"/>
  <c r="J113" i="44"/>
  <c r="J112" i="44"/>
  <c r="J111" i="44"/>
  <c r="J110" i="44"/>
  <c r="J109" i="44"/>
  <c r="J108" i="44"/>
  <c r="J107" i="44"/>
  <c r="J106" i="44"/>
  <c r="J105" i="44"/>
  <c r="J104" i="44"/>
  <c r="J103" i="44"/>
  <c r="J102" i="44"/>
  <c r="J101" i="44"/>
  <c r="J100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7" i="44"/>
  <c r="J86" i="44"/>
  <c r="J85" i="44"/>
  <c r="J84" i="44"/>
  <c r="J83" i="44"/>
  <c r="J82" i="44"/>
  <c r="J81" i="44"/>
  <c r="J80" i="44"/>
  <c r="J79" i="44"/>
  <c r="J78" i="44"/>
  <c r="J77" i="44"/>
  <c r="J76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O25" i="45"/>
  <c r="P24" i="45"/>
  <c r="D94" i="44"/>
  <c r="C94" i="44"/>
  <c r="P11" i="45"/>
  <c r="P23" i="45" l="1"/>
  <c r="O23" i="45"/>
  <c r="G7" i="45"/>
  <c r="G19" i="45"/>
  <c r="O19" i="45"/>
  <c r="G28" i="45"/>
  <c r="D115" i="44"/>
  <c r="D114" i="44"/>
  <c r="D113" i="44"/>
  <c r="D112" i="44"/>
  <c r="D111" i="44"/>
  <c r="D110" i="44"/>
  <c r="D109" i="44"/>
  <c r="D108" i="44"/>
  <c r="D107" i="44"/>
  <c r="D106" i="44"/>
  <c r="D105" i="44"/>
  <c r="D104" i="44"/>
  <c r="D103" i="44"/>
  <c r="D102" i="44"/>
  <c r="D101" i="44"/>
  <c r="D100" i="44"/>
  <c r="D99" i="44"/>
  <c r="D98" i="44"/>
  <c r="D97" i="44"/>
  <c r="D96" i="44"/>
  <c r="D95" i="44"/>
  <c r="D93" i="44"/>
  <c r="D92" i="44"/>
  <c r="D91" i="44"/>
  <c r="D90" i="44"/>
  <c r="D89" i="44"/>
  <c r="D88" i="44"/>
  <c r="D87" i="44"/>
  <c r="D86" i="44"/>
  <c r="D85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9" i="44"/>
  <c r="D68" i="44"/>
  <c r="D67" i="44"/>
  <c r="D66" i="44"/>
  <c r="D65" i="44"/>
  <c r="D64" i="44"/>
  <c r="D63" i="44"/>
  <c r="D62" i="44"/>
  <c r="D61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16" i="44"/>
  <c r="D15" i="44"/>
  <c r="D14" i="44"/>
  <c r="D13" i="44"/>
  <c r="D12" i="44"/>
  <c r="D11" i="44"/>
  <c r="D10" i="44"/>
  <c r="D9" i="44"/>
  <c r="D8" i="44"/>
  <c r="D7" i="44"/>
  <c r="D6" i="44"/>
  <c r="D5" i="44"/>
  <c r="D28" i="44"/>
  <c r="D27" i="44"/>
  <c r="D26" i="44"/>
  <c r="D25" i="44"/>
  <c r="D24" i="44"/>
  <c r="D23" i="44"/>
  <c r="D22" i="44"/>
  <c r="D21" i="44"/>
  <c r="D20" i="44"/>
  <c r="D19" i="44"/>
  <c r="D18" i="44"/>
  <c r="D36" i="44"/>
  <c r="D35" i="44"/>
  <c r="D34" i="44"/>
  <c r="D33" i="44"/>
  <c r="D32" i="44"/>
  <c r="D31" i="44"/>
  <c r="D30" i="44"/>
  <c r="D29" i="44"/>
  <c r="D17" i="44"/>
  <c r="D4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G6" i="45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I7" i="44"/>
  <c r="I6" i="44"/>
  <c r="I5" i="44"/>
  <c r="I4" i="44"/>
  <c r="P14" i="45"/>
  <c r="O14" i="45"/>
  <c r="C90" i="44"/>
  <c r="C88" i="44"/>
  <c r="C86" i="44"/>
  <c r="C84" i="44"/>
  <c r="C80" i="44"/>
  <c r="C78" i="44"/>
  <c r="C76" i="44"/>
  <c r="C74" i="44"/>
  <c r="C70" i="44"/>
  <c r="C68" i="44"/>
  <c r="S15" i="45"/>
  <c r="O15" i="45"/>
  <c r="P15" i="45"/>
  <c r="G15" i="45"/>
  <c r="M21" i="45"/>
  <c r="L21" i="45"/>
  <c r="I21" i="45"/>
  <c r="J21" i="45"/>
  <c r="H38" i="45"/>
  <c r="G38" i="45"/>
  <c r="Q25" i="45" s="1"/>
  <c r="H37" i="45"/>
  <c r="G37" i="45"/>
  <c r="O43" i="45"/>
  <c r="C115" i="44"/>
  <c r="C114" i="44"/>
  <c r="C113" i="44"/>
  <c r="C112" i="44"/>
  <c r="C111" i="44"/>
  <c r="C110" i="44"/>
  <c r="C109" i="44"/>
  <c r="C108" i="44"/>
  <c r="C107" i="44"/>
  <c r="C106" i="44"/>
  <c r="C104" i="44"/>
  <c r="C103" i="44"/>
  <c r="C100" i="44"/>
  <c r="C98" i="44"/>
  <c r="C97" i="44"/>
  <c r="C101" i="44"/>
  <c r="C95" i="44"/>
  <c r="C93" i="44"/>
  <c r="C91" i="44"/>
  <c r="C89" i="44"/>
  <c r="G10" i="45"/>
  <c r="G9" i="45"/>
  <c r="G3" i="45"/>
  <c r="G32" i="45"/>
  <c r="P19" i="45"/>
  <c r="N11" i="45" l="1"/>
  <c r="Q11" i="45"/>
  <c r="Q15" i="45"/>
  <c r="N15" i="45"/>
  <c r="G33" i="45"/>
  <c r="O33" i="45"/>
  <c r="P33" i="45"/>
  <c r="Q23" i="45" l="1"/>
  <c r="Q33" i="45"/>
  <c r="Q22" i="45"/>
  <c r="Q31" i="45"/>
  <c r="Q29" i="45"/>
  <c r="Q32" i="45"/>
  <c r="Q24" i="45"/>
  <c r="Q30" i="45"/>
  <c r="C82" i="44"/>
  <c r="Q16" i="45"/>
  <c r="C87" i="44"/>
  <c r="C83" i="44"/>
  <c r="C85" i="44"/>
  <c r="Q20" i="45"/>
  <c r="Q17" i="45"/>
  <c r="Q26" i="45"/>
  <c r="Q18" i="45"/>
  <c r="Q28" i="45"/>
  <c r="Q14" i="45"/>
  <c r="Q19" i="45"/>
  <c r="G20" i="45"/>
  <c r="Q27" i="45"/>
  <c r="G27" i="45"/>
  <c r="G14" i="45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9" i="44"/>
  <c r="C71" i="44"/>
  <c r="C72" i="44"/>
  <c r="C73" i="44"/>
  <c r="C75" i="44"/>
  <c r="C77" i="44"/>
  <c r="C79" i="44"/>
  <c r="C81" i="44"/>
  <c r="C92" i="44"/>
  <c r="C96" i="44"/>
  <c r="C99" i="44"/>
  <c r="C102" i="44"/>
  <c r="C105" i="44"/>
  <c r="C3" i="44"/>
  <c r="X11" i="45" s="1"/>
  <c r="C4" i="44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G23" i="45"/>
  <c r="X15" i="45" l="1"/>
  <c r="N31" i="45"/>
  <c r="N32" i="45"/>
  <c r="H21" i="45"/>
  <c r="K21" i="45"/>
  <c r="N17" i="45"/>
  <c r="N29" i="45"/>
  <c r="N33" i="45"/>
  <c r="N28" i="45"/>
  <c r="N18" i="45"/>
  <c r="N16" i="45"/>
  <c r="N14" i="45"/>
  <c r="N27" i="45"/>
  <c r="N20" i="45"/>
  <c r="N23" i="45"/>
  <c r="N30" i="45"/>
  <c r="N25" i="45"/>
  <c r="N19" i="45"/>
  <c r="N24" i="45"/>
  <c r="N22" i="45"/>
  <c r="N26" i="45"/>
  <c r="X28" i="45"/>
  <c r="B41" i="45"/>
  <c r="G18" i="45"/>
  <c r="D48" i="45"/>
  <c r="E50" i="45"/>
  <c r="E49" i="45"/>
  <c r="G31" i="45"/>
  <c r="D15" i="45" l="1"/>
  <c r="E15" i="45" s="1"/>
  <c r="D11" i="45"/>
  <c r="E11" i="45" s="1"/>
  <c r="E48" i="45"/>
  <c r="D21" i="45"/>
  <c r="E21" i="45" s="1"/>
  <c r="D18" i="45"/>
  <c r="E18" i="45" s="1"/>
  <c r="D32" i="45"/>
  <c r="E32" i="45" s="1"/>
  <c r="D23" i="45"/>
  <c r="E23" i="45" s="1"/>
  <c r="D20" i="45"/>
  <c r="E20" i="45" s="1"/>
  <c r="N38" i="45"/>
  <c r="N39" i="45"/>
  <c r="N40" i="45"/>
  <c r="N41" i="45"/>
  <c r="N42" i="45"/>
  <c r="N43" i="45"/>
  <c r="N44" i="45"/>
  <c r="N45" i="45"/>
  <c r="N46" i="45"/>
  <c r="N47" i="45"/>
  <c r="N48" i="45"/>
  <c r="N49" i="45"/>
  <c r="F53" i="44"/>
  <c r="F54" i="44"/>
  <c r="F55" i="44"/>
  <c r="F57" i="44"/>
  <c r="F56" i="44"/>
  <c r="F58" i="44"/>
  <c r="F59" i="44"/>
  <c r="F61" i="44"/>
  <c r="F60" i="44"/>
  <c r="F63" i="44"/>
  <c r="F62" i="44"/>
  <c r="F65" i="44"/>
  <c r="F64" i="44"/>
  <c r="F66" i="44"/>
  <c r="F67" i="44"/>
  <c r="F52" i="44"/>
  <c r="G4" i="45"/>
  <c r="G30" i="45"/>
  <c r="D22" i="45"/>
  <c r="E22" i="45" s="1"/>
  <c r="G16" i="45"/>
  <c r="B1" i="45"/>
  <c r="O49" i="45"/>
  <c r="O48" i="45"/>
  <c r="O47" i="45"/>
  <c r="O46" i="45"/>
  <c r="O45" i="45"/>
  <c r="O44" i="45"/>
  <c r="O42" i="45"/>
  <c r="O41" i="45"/>
  <c r="O40" i="45"/>
  <c r="O39" i="45"/>
  <c r="O38" i="45"/>
  <c r="D28" i="45"/>
  <c r="E28" i="45" s="1"/>
  <c r="G8" i="45"/>
  <c r="G13" i="45"/>
  <c r="G26" i="45"/>
  <c r="G12" i="45"/>
  <c r="T7" i="45" l="1"/>
  <c r="U7" i="45"/>
  <c r="T10" i="45"/>
  <c r="U10" i="45"/>
  <c r="T9" i="45"/>
  <c r="T5" i="45"/>
  <c r="U9" i="45"/>
  <c r="U5" i="45"/>
  <c r="D47" i="45"/>
  <c r="E47" i="45" s="1"/>
  <c r="D43" i="45"/>
  <c r="E43" i="45" s="1"/>
  <c r="D42" i="45"/>
  <c r="E42" i="45" s="1"/>
  <c r="X27" i="45"/>
  <c r="D27" i="45" s="1"/>
  <c r="E27" i="45" s="1"/>
  <c r="U12" i="45"/>
  <c r="T4" i="45"/>
  <c r="T13" i="45"/>
  <c r="U8" i="45"/>
  <c r="T6" i="45"/>
  <c r="T3" i="45"/>
  <c r="U6" i="45"/>
  <c r="U3" i="45"/>
  <c r="U4" i="45"/>
  <c r="U13" i="45"/>
  <c r="T8" i="45"/>
  <c r="T12" i="45"/>
  <c r="X33" i="45"/>
  <c r="D33" i="45" s="1"/>
  <c r="E33" i="45" s="1"/>
  <c r="X26" i="45"/>
  <c r="D26" i="45" s="1"/>
  <c r="E26" i="45" s="1"/>
  <c r="X19" i="45"/>
  <c r="D19" i="45" s="1"/>
  <c r="E19" i="45" s="1"/>
  <c r="X30" i="45"/>
  <c r="X24" i="45"/>
  <c r="D24" i="45" s="1"/>
  <c r="E24" i="45" s="1"/>
  <c r="X31" i="45"/>
  <c r="D31" i="45" s="1"/>
  <c r="E31" i="45" s="1"/>
  <c r="X14" i="45"/>
  <c r="D14" i="45" s="1"/>
  <c r="E14" i="45" s="1"/>
  <c r="X16" i="45"/>
  <c r="D16" i="45" s="1"/>
  <c r="E16" i="45" s="1"/>
  <c r="X29" i="45"/>
  <c r="D29" i="45" s="1"/>
  <c r="E29" i="45" s="1"/>
  <c r="X25" i="45"/>
  <c r="D25" i="45" s="1"/>
  <c r="E25" i="45" s="1"/>
  <c r="X17" i="45"/>
  <c r="D17" i="45" s="1"/>
  <c r="E17" i="45" s="1"/>
  <c r="D7" i="45" l="1"/>
  <c r="E7" i="45" s="1"/>
  <c r="D10" i="45"/>
  <c r="E10" i="45" s="1"/>
  <c r="D9" i="45"/>
  <c r="E9" i="45" s="1"/>
  <c r="D5" i="45"/>
  <c r="E5" i="45" s="1"/>
  <c r="D44" i="45"/>
  <c r="E44" i="45" s="1"/>
  <c r="D45" i="45"/>
  <c r="E45" i="45" s="1"/>
  <c r="D46" i="45"/>
  <c r="E46" i="45" s="1"/>
  <c r="D30" i="45"/>
  <c r="E30" i="45" s="1"/>
  <c r="D8" i="45"/>
  <c r="E8" i="45" s="1"/>
  <c r="D6" i="45"/>
  <c r="E6" i="45" s="1"/>
  <c r="D12" i="45"/>
  <c r="E12" i="45" s="1"/>
  <c r="D13" i="45"/>
  <c r="E13" i="45" s="1"/>
  <c r="D3" i="45"/>
  <c r="E3" i="45" s="1"/>
  <c r="D4" i="45"/>
  <c r="E4" i="45" s="1"/>
  <c r="D51" i="45" l="1"/>
  <c r="E51" i="4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ransacties" description="Verbinding maken met de query transacties in de werkmap." type="5" refreshedVersion="6" background="1">
    <dbPr connection="Provider=Microsoft.Mashup.OleDb.1;Data Source=$Workbook$;Location=transacties;Extended Properties=&quot;&quot;" command="SELECT * FROM [transacties]"/>
  </connection>
</connections>
</file>

<file path=xl/sharedStrings.xml><?xml version="1.0" encoding="utf-8"?>
<sst xmlns="http://schemas.openxmlformats.org/spreadsheetml/2006/main" count="131" uniqueCount="112">
  <si>
    <t>verbruik</t>
  </si>
  <si>
    <t>Etrfvbr</t>
  </si>
  <si>
    <t>vanaf</t>
  </si>
  <si>
    <t>Vandebron</t>
  </si>
  <si>
    <t>Vaste leveringskosten per jaar</t>
  </si>
  <si>
    <t>Gewoon Energie</t>
  </si>
  <si>
    <t>Mega</t>
  </si>
  <si>
    <t>Pure Energie</t>
  </si>
  <si>
    <t>United Consumers</t>
  </si>
  <si>
    <t>Vrijopnaam</t>
  </si>
  <si>
    <t>1 jaar</t>
  </si>
  <si>
    <t>selecteer</t>
  </si>
  <si>
    <t>Terugleverkosten over bruto teruglevering per kWh</t>
  </si>
  <si>
    <t>kosten per jaar</t>
  </si>
  <si>
    <t>kosten per maand</t>
  </si>
  <si>
    <t>Netbeheer per jaar</t>
  </si>
  <si>
    <t>Terugaaf energiebelasting per jaar</t>
  </si>
  <si>
    <t>Gewogen marktprijs verbruik per jaar</t>
  </si>
  <si>
    <t>Gewogen marktprijs teruglevering per jaar</t>
  </si>
  <si>
    <t>Terugleverkosten over bruto teruglevering per jaar (staffel )</t>
  </si>
  <si>
    <t>Delta</t>
  </si>
  <si>
    <t>Energiedirect</t>
  </si>
  <si>
    <t>Essent</t>
  </si>
  <si>
    <t>Vattenfall</t>
  </si>
  <si>
    <t>Etotvbr</t>
  </si>
  <si>
    <t>Innova</t>
  </si>
  <si>
    <t>Energie Van Ons</t>
  </si>
  <si>
    <t>OM Nieuwe Energie</t>
  </si>
  <si>
    <t>Budget Energie</t>
  </si>
  <si>
    <t>Power Peers</t>
  </si>
  <si>
    <t>Frank Energie</t>
  </si>
  <si>
    <t>Energiebelasting</t>
  </si>
  <si>
    <t>Vaste leveringskosten</t>
  </si>
  <si>
    <t>Terugleverkosten</t>
  </si>
  <si>
    <t>Kosten verbruik</t>
  </si>
  <si>
    <t>Opbrengst teruglevering</t>
  </si>
  <si>
    <t>Inkoopkosten</t>
  </si>
  <si>
    <t>normaal</t>
  </si>
  <si>
    <t>dal</t>
  </si>
  <si>
    <t>teruglev</t>
  </si>
  <si>
    <t>Verbruik in kWh -&gt; vul in</t>
  </si>
  <si>
    <t>Teruglevering per kWh -&gt; vul in</t>
  </si>
  <si>
    <t>Leverancier -&gt; selecteer</t>
  </si>
  <si>
    <t>Inkoopvergoeding verbruik per kWh</t>
  </si>
  <si>
    <t>Inkoopvergoeding teruglevering per kWh</t>
  </si>
  <si>
    <t>Totaal (euro)</t>
  </si>
  <si>
    <t>tot</t>
  </si>
  <si>
    <t>Eenmalige korting</t>
  </si>
  <si>
    <t>Update</t>
  </si>
  <si>
    <t>Gemiddeld tarief netto verbruik per kWh excl. energiebelasting</t>
  </si>
  <si>
    <t>Gemiddeld tarief netto teruglevering per kWh excl. energiebelasting</t>
  </si>
  <si>
    <t>Gemiddeld tarief bruto teruglevering per kWh excl. energiebelasting</t>
  </si>
  <si>
    <t>dynamisch verbruik</t>
  </si>
  <si>
    <t>gemiddelde marktprijs per maand</t>
  </si>
  <si>
    <t>Dit is de werkelijk afgenomen en teruggeleverde energie in kWh van en naar het net.</t>
  </si>
  <si>
    <t>per maand</t>
  </si>
  <si>
    <t>per jaar</t>
  </si>
  <si>
    <t>% normaal</t>
  </si>
  <si>
    <t>Vul in de bovenste gele velden het verbruik en de teruglevering in.</t>
  </si>
  <si>
    <t>Verbruiksgegevens</t>
  </si>
  <si>
    <t>Door het selecteren van de leverancier kunnen de details van de berekening worden weergegeven voor deze leverancier.</t>
  </si>
  <si>
    <t>De hoeveelheid energie bij normaaltarief en daltarief wordt automatisch berekend op basis van een standaard percentage dat indien nodig kan worden gewijzigd.</t>
  </si>
  <si>
    <t>Deze tabel laat zien wat de gemiddelde marktprijs is per kWh en inclusief btw per maand voor verbruik en teruglevering op basis van afgelopen jaar.</t>
  </si>
  <si>
    <t>per kWh</t>
  </si>
  <si>
    <t>Tarief bruto verbruik hoog per kWh incl. energiebelasting</t>
  </si>
  <si>
    <t>Tarief bruto verbruik laag per kWh incl. energiebelasting</t>
  </si>
  <si>
    <t>Gemiddeld tarief bruto verbruik per kWh excl. energiebelasting</t>
  </si>
  <si>
    <t>Tarief bruto teruglevering hoog per kWh incl. energiebelasting</t>
  </si>
  <si>
    <t>Tarief bruto teruglevering laag per kWh incl. energiebelasting</t>
  </si>
  <si>
    <t>Tarief netto verbruik hoog per kWh  incl. energiebelasting (na salderen)</t>
  </si>
  <si>
    <t>Tarief netto verbruik laag per kWh  incl. energiebelasting (na salderen)</t>
  </si>
  <si>
    <t>Tarief netto teruglevering laag per kWh incl. energiebelasting (na salderen)</t>
  </si>
  <si>
    <t>Tarief netto teruglevering hoog per kWh incl. energiebelasting (na salderen)</t>
  </si>
  <si>
    <t>vul in of selecteer</t>
  </si>
  <si>
    <t>Een eenmalige korting of loyaliteitsbonus wordt individueel bepaald. Vul deze desgewenst in in het lichtgele veld.</t>
  </si>
  <si>
    <t>Indien nodig kunnen de gemiddelde tarieven worden gewijzigd voor een specifieke situatie in het lichtgele velden.</t>
  </si>
  <si>
    <t>Energie VanOns</t>
  </si>
  <si>
    <t>Vandebron 1 JR (NL Essent)</t>
  </si>
  <si>
    <t>Groenpand VAR (NL Chiriqui)</t>
  </si>
  <si>
    <t>Zonneplan Dynamisch (NL privé)</t>
  </si>
  <si>
    <t>Next Energy Dynamisch (NL privé)</t>
  </si>
  <si>
    <t>Vandebron Dynamisch (NL Essent)</t>
  </si>
  <si>
    <t>Tibber Dynamisch (SE privé)</t>
  </si>
  <si>
    <t>Greenchoice Dynamisch (EnergyZero)</t>
  </si>
  <si>
    <t>Budget Energie Dynamisch (NL De Nuts Groep)</t>
  </si>
  <si>
    <t>Pure Energie Dynamisch (NL Raedthuys Groep)</t>
  </si>
  <si>
    <t>Anwb Dynamisch (NL EnergyZero)</t>
  </si>
  <si>
    <t>Frank Energie Dynamisch (NL privé)</t>
  </si>
  <si>
    <t>Eneco Dynamisch (JP Mitsubishi/Chubu)</t>
  </si>
  <si>
    <t>Delta 1 Jaar (NL Provincie/Gemeenten Zeeland)</t>
  </si>
  <si>
    <t>Vandebron 1 Jaar (NL Essent)</t>
  </si>
  <si>
    <t>Energie VanOns 1 Jaar (Energiekoepels in FR, GR en DR)</t>
  </si>
  <si>
    <t>Powerpeers 1 Jaar (SE Vattenfall)</t>
  </si>
  <si>
    <t>Greenchoice 1 Jaar (NL Energie Concurrent/Eneco)</t>
  </si>
  <si>
    <t>Pure Energie 1 Jaar (NL Raedthuys Groep)</t>
  </si>
  <si>
    <t>Oxxio 1 Jaar (NL Eneco)</t>
  </si>
  <si>
    <t>Eneco 1 Jaar (JP Mitsubishi/Chubu)</t>
  </si>
  <si>
    <t>Vattenfall 1 Jaar (SE Zweedse Staat)</t>
  </si>
  <si>
    <t>Budget Energie 1 Jaar (NL De Nuts Groep)</t>
  </si>
  <si>
    <t>Innova Energie 1 Jaar (NL privé)</t>
  </si>
  <si>
    <t>Gewoon Energie 1 Jaar (NL Innova Energie)</t>
  </si>
  <si>
    <t>Energiedirect 1 Jaar (NL Essent)</t>
  </si>
  <si>
    <t>Mega 1 Jaar (BE privé )</t>
  </si>
  <si>
    <t>Vrijopnaam  1 Jaar (NL privé)</t>
  </si>
  <si>
    <t>Engie 1 Jaar (FR Franse Staat/NV)</t>
  </si>
  <si>
    <t>Essent 1 Jaar (DE E.ON)</t>
  </si>
  <si>
    <t>United Consumers 1 Jaar (FR Engie)</t>
  </si>
  <si>
    <t>Essent Model (DE E.ON)</t>
  </si>
  <si>
    <t>Om Nieuwe Energie</t>
  </si>
  <si>
    <t>Om Nieuwe Energie 1 Jaar (Coöperatie)</t>
  </si>
  <si>
    <t>Etrfprd</t>
  </si>
  <si>
    <t>Etotprd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</si>
</sst>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  <numFmt numFmtId="166" formatCode="[$€-2]\ #,##0;[Red]\-[$€-2]\ #,##0"/>
    <numFmt numFmtId="167" formatCode="_-* #,##0.00000_-;\-* #,##0.00000_-;_-* &quot;-&quot;??_-;_-@_-"/>
    <numFmt numFmtId="168" formatCode="0_ ;\-0\ "/>
    <numFmt numFmtId="170" formatCode="_-* #,##0.0000_-;\-* #,##0.0000_-;_-* &quot;-&quot;??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6" tint="-0.249977111117893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u val="singleAccounting"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7" fillId="0" borderId="0"/>
    <xf numFmtId="0" fontId="6" fillId="0" borderId="0"/>
    <xf numFmtId="0" fontId="9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0" xfId="0" applyFill="1"/>
    <xf numFmtId="0" fontId="9" fillId="2" borderId="10" xfId="0" applyFont="1" applyFill="1" applyBorder="1" applyAlignment="1">
      <alignment horizontal="center" textRotation="45" wrapText="1"/>
    </xf>
    <xf numFmtId="0" fontId="9" fillId="2" borderId="0" xfId="0" applyFont="1" applyFill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center" textRotation="45" wrapText="1"/>
    </xf>
    <xf numFmtId="0" fontId="9" fillId="2" borderId="0" xfId="0" applyFont="1" applyFill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43" fontId="8" fillId="2" borderId="10" xfId="0" applyNumberFormat="1" applyFont="1" applyFill="1" applyBorder="1"/>
    <xf numFmtId="43" fontId="10" fillId="2" borderId="10" xfId="0" applyNumberFormat="1" applyFont="1" applyFill="1" applyBorder="1"/>
    <xf numFmtId="43" fontId="11" fillId="2" borderId="10" xfId="0" applyNumberFormat="1" applyFont="1" applyFill="1" applyBorder="1"/>
    <xf numFmtId="164" fontId="10" fillId="2" borderId="10" xfId="0" applyNumberFormat="1" applyFont="1" applyFill="1" applyBorder="1"/>
    <xf numFmtId="164" fontId="11" fillId="2" borderId="10" xfId="0" applyNumberFormat="1" applyFont="1" applyFill="1" applyBorder="1"/>
    <xf numFmtId="0" fontId="9" fillId="2" borderId="0" xfId="0" applyFont="1" applyFill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6" fontId="0" fillId="0" borderId="0" xfId="0" applyNumberFormat="1"/>
    <xf numFmtId="165" fontId="0" fillId="2" borderId="0" xfId="0" applyNumberFormat="1" applyFill="1"/>
    <xf numFmtId="165" fontId="0" fillId="2" borderId="0" xfId="0" applyNumberFormat="1" applyFill="1" applyAlignment="1">
      <alignment horizontal="center"/>
    </xf>
    <xf numFmtId="4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3" fontId="0" fillId="2" borderId="0" xfId="0" applyNumberFormat="1" applyFill="1"/>
    <xf numFmtId="164" fontId="9" fillId="2" borderId="0" xfId="0" applyNumberFormat="1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2" borderId="6" xfId="1" applyFont="1" applyFill="1" applyBorder="1" applyAlignment="1">
      <alignment horizontal="center"/>
    </xf>
    <xf numFmtId="43" fontId="9" fillId="2" borderId="0" xfId="0" applyNumberFormat="1" applyFont="1" applyFill="1"/>
    <xf numFmtId="167" fontId="9" fillId="2" borderId="0" xfId="0" applyNumberFormat="1" applyFont="1" applyFill="1" applyAlignment="1">
      <alignment horizontal="center"/>
    </xf>
    <xf numFmtId="168" fontId="9" fillId="2" borderId="0" xfId="0" applyNumberFormat="1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8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1" xfId="0" applyFont="1" applyFill="1" applyBorder="1"/>
    <xf numFmtId="9" fontId="0" fillId="4" borderId="0" xfId="1" applyFont="1" applyFill="1" applyBorder="1" applyAlignment="1">
      <alignment horizontal="center"/>
    </xf>
    <xf numFmtId="168" fontId="13" fillId="2" borderId="0" xfId="0" applyNumberFormat="1" applyFont="1" applyFill="1" applyAlignment="1">
      <alignment horizontal="center"/>
    </xf>
    <xf numFmtId="168" fontId="13" fillId="2" borderId="7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13" xfId="0" applyFont="1" applyFill="1" applyBorder="1" applyAlignment="1">
      <alignment horizontal="center"/>
    </xf>
    <xf numFmtId="43" fontId="13" fillId="2" borderId="0" xfId="0" applyNumberFormat="1" applyFont="1" applyFill="1" applyAlignment="1">
      <alignment horizontal="center"/>
    </xf>
    <xf numFmtId="43" fontId="13" fillId="2" borderId="7" xfId="0" applyNumberFormat="1" applyFont="1" applyFill="1" applyBorder="1" applyAlignment="1">
      <alignment horizontal="center"/>
    </xf>
    <xf numFmtId="43" fontId="14" fillId="2" borderId="3" xfId="0" applyNumberFormat="1" applyFont="1" applyFill="1" applyBorder="1" applyAlignment="1">
      <alignment horizontal="center"/>
    </xf>
    <xf numFmtId="43" fontId="14" fillId="2" borderId="6" xfId="0" applyNumberFormat="1" applyFont="1" applyFill="1" applyBorder="1"/>
    <xf numFmtId="16" fontId="9" fillId="2" borderId="13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6" fontId="9" fillId="2" borderId="7" xfId="0" applyNumberFormat="1" applyFont="1" applyFill="1" applyBorder="1" applyAlignment="1">
      <alignment horizontal="left"/>
    </xf>
    <xf numFmtId="0" fontId="0" fillId="2" borderId="1" xfId="0" applyFill="1" applyBorder="1"/>
    <xf numFmtId="0" fontId="9" fillId="2" borderId="2" xfId="0" applyFont="1" applyFill="1" applyBorder="1" applyAlignment="1">
      <alignment horizontal="left"/>
    </xf>
    <xf numFmtId="16" fontId="9" fillId="2" borderId="6" xfId="0" applyNumberFormat="1" applyFont="1" applyFill="1" applyBorder="1" applyAlignment="1">
      <alignment horizontal="left"/>
    </xf>
    <xf numFmtId="43" fontId="15" fillId="2" borderId="0" xfId="0" applyNumberFormat="1" applyFont="1" applyFill="1" applyAlignment="1">
      <alignment horizontal="center"/>
    </xf>
    <xf numFmtId="43" fontId="15" fillId="2" borderId="7" xfId="0" applyNumberFormat="1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2" fontId="9" fillId="4" borderId="6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43" fontId="11" fillId="4" borderId="10" xfId="0" applyNumberFormat="1" applyFont="1" applyFill="1" applyBorder="1"/>
    <xf numFmtId="0" fontId="8" fillId="2" borderId="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168" fontId="9" fillId="3" borderId="0" xfId="0" applyNumberFormat="1" applyFont="1" applyFill="1" applyAlignment="1">
      <alignment horizontal="left"/>
    </xf>
    <xf numFmtId="0" fontId="9" fillId="2" borderId="1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9" fillId="2" borderId="0" xfId="0" applyFont="1" applyFill="1" applyAlignment="1">
      <alignment horizontal="right"/>
    </xf>
    <xf numFmtId="170" fontId="0" fillId="2" borderId="0" xfId="0" applyNumberFormat="1" applyFill="1"/>
  </cellXfs>
  <cellStyles count="13">
    <cellStyle name="Normal 2" xfId="2" xr:uid="{21A4325A-FF51-4B6C-932D-EB9AD2624D17}"/>
    <cellStyle name="Procent" xfId="1" builtinId="5"/>
    <cellStyle name="Procent 2" xfId="6" xr:uid="{6EB5E025-A3AB-4B08-90F6-4670F1E1D517}"/>
    <cellStyle name="Procent 3" xfId="7" xr:uid="{C26ECB3B-C101-4B1D-BE8D-EBD99F1AC443}"/>
    <cellStyle name="Procent 4" xfId="9" xr:uid="{9578EF07-8E0C-4490-B51B-420131A3483F}"/>
    <cellStyle name="Procent 5" xfId="11" xr:uid="{588F4020-18EF-47E3-9B7E-2414218C4A7B}"/>
    <cellStyle name="Standaard" xfId="0" builtinId="0"/>
    <cellStyle name="Standaard 2" xfId="3" xr:uid="{3E9B9BDD-ED82-4151-BA41-79B64474F4BD}"/>
    <cellStyle name="Standaard 2 2" xfId="5" xr:uid="{1D2A0B1E-B085-4AF8-A271-BCF29DB5EEB2}"/>
    <cellStyle name="Standaard 3" xfId="4" xr:uid="{1191DA63-35C8-47A6-8FA4-ADEC90053948}"/>
    <cellStyle name="Standaard 4" xfId="8" xr:uid="{E0C568CA-1DE7-4DB2-A939-8C78CABC9B99}"/>
    <cellStyle name="Standaard 5" xfId="10" xr:uid="{7FCF4268-293E-4A78-885F-84384BFAEBF6}"/>
    <cellStyle name="Standaard 6" xfId="12" xr:uid="{56CE5127-17C3-49B0-A2AE-2215E08A387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FF"/>
      <color rgb="FFFF9393"/>
      <color rgb="FFFF7D7D"/>
      <color rgb="FFFF7979"/>
      <color rgb="FFCD7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3</xdr:row>
      <xdr:rowOff>7620</xdr:rowOff>
    </xdr:from>
    <xdr:to>
      <xdr:col>9</xdr:col>
      <xdr:colOff>389439</xdr:colOff>
      <xdr:row>7</xdr:row>
      <xdr:rowOff>108693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1436C5F5-3C64-3A6C-181C-CDDE269F2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510540"/>
          <a:ext cx="5868219" cy="771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6</xdr:col>
      <xdr:colOff>333932</xdr:colOff>
      <xdr:row>20</xdr:row>
      <xdr:rowOff>95527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DEC89460-E8C3-D28B-028D-57BE45497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43050"/>
          <a:ext cx="3991532" cy="19814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6</xdr:col>
      <xdr:colOff>181511</xdr:colOff>
      <xdr:row>37</xdr:row>
      <xdr:rowOff>95597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5967D183-7718-8C11-0FF1-7D6CFFE08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952875"/>
          <a:ext cx="3839111" cy="2486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4</xdr:col>
      <xdr:colOff>67025</xdr:colOff>
      <xdr:row>75</xdr:row>
      <xdr:rowOff>86598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2F4995-9D6C-851B-2744-02635B8B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686550"/>
          <a:ext cx="2505425" cy="625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F738-BA5B-47F3-85FA-1969081A199F}">
  <dimension ref="B1:AG66"/>
  <sheetViews>
    <sheetView tabSelected="1" zoomScale="80" zoomScaleNormal="80" workbookViewId="0">
      <pane ySplit="2" topLeftCell="A17" activePane="bottomLeft" state="frozen"/>
      <selection pane="bottomLeft" activeCell="Q41" sqref="Q40:Q41"/>
    </sheetView>
  </sheetViews>
  <sheetFormatPr defaultRowHeight="13.2" x14ac:dyDescent="0.25"/>
  <cols>
    <col min="1" max="1" width="1.21875" style="3" customWidth="1"/>
    <col min="2" max="2" width="47.6640625" style="3" customWidth="1"/>
    <col min="3" max="3" width="7.5546875" style="3" customWidth="1"/>
    <col min="4" max="20" width="9.21875" style="3" customWidth="1"/>
    <col min="21" max="25" width="9.21875" style="24" customWidth="1"/>
    <col min="26" max="27" width="10.109375" style="24" customWidth="1"/>
    <col min="28" max="28" width="1.33203125" style="3" customWidth="1"/>
    <col min="29" max="33" width="9.6640625" style="24" customWidth="1"/>
    <col min="34" max="16384" width="8.88671875" style="3"/>
  </cols>
  <sheetData>
    <row r="1" spans="2:33" ht="109.95" customHeight="1" x14ac:dyDescent="0.25">
      <c r="B1" s="17" t="str">
        <f>"Verbruik: "&amp;$C$37&amp;", Teruglevering: "&amp;$C$38</f>
        <v>Verbruik: 4800, Teruglevering: 2400</v>
      </c>
      <c r="C1" s="17" t="s">
        <v>48</v>
      </c>
      <c r="D1" s="4" t="s">
        <v>13</v>
      </c>
      <c r="E1" s="4" t="s">
        <v>14</v>
      </c>
      <c r="F1" s="4" t="s">
        <v>47</v>
      </c>
      <c r="G1" s="4" t="s">
        <v>4</v>
      </c>
      <c r="H1" s="4" t="s">
        <v>66</v>
      </c>
      <c r="I1" s="4" t="s">
        <v>64</v>
      </c>
      <c r="J1" s="4" t="s">
        <v>65</v>
      </c>
      <c r="K1" s="4" t="s">
        <v>51</v>
      </c>
      <c r="L1" s="4" t="s">
        <v>67</v>
      </c>
      <c r="M1" s="4" t="s">
        <v>68</v>
      </c>
      <c r="N1" s="4" t="s">
        <v>49</v>
      </c>
      <c r="O1" s="4" t="s">
        <v>69</v>
      </c>
      <c r="P1" s="4" t="s">
        <v>70</v>
      </c>
      <c r="Q1" s="4" t="s">
        <v>50</v>
      </c>
      <c r="R1" s="4" t="s">
        <v>72</v>
      </c>
      <c r="S1" s="4" t="s">
        <v>71</v>
      </c>
      <c r="T1" s="4" t="s">
        <v>17</v>
      </c>
      <c r="U1" s="4" t="s">
        <v>18</v>
      </c>
      <c r="V1" s="4" t="s">
        <v>43</v>
      </c>
      <c r="W1" s="4" t="s">
        <v>44</v>
      </c>
      <c r="X1" s="4" t="s">
        <v>19</v>
      </c>
      <c r="Y1" s="4" t="s">
        <v>12</v>
      </c>
      <c r="Z1" s="3"/>
      <c r="AA1" s="3"/>
      <c r="AC1" s="3"/>
      <c r="AD1" s="3"/>
      <c r="AE1" s="3"/>
      <c r="AF1" s="3"/>
      <c r="AG1" s="3"/>
    </row>
    <row r="2" spans="2:33" ht="4.95" customHeight="1" x14ac:dyDescent="0.25">
      <c r="B2" s="17"/>
      <c r="C2" s="1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3"/>
      <c r="AA2" s="3"/>
      <c r="AC2" s="3"/>
      <c r="AD2" s="3"/>
      <c r="AE2" s="3"/>
      <c r="AF2" s="3"/>
      <c r="AG2" s="3"/>
    </row>
    <row r="3" spans="2:33" x14ac:dyDescent="0.25">
      <c r="B3" s="67" t="s">
        <v>79</v>
      </c>
      <c r="C3" s="57">
        <v>45567</v>
      </c>
      <c r="D3" s="12">
        <f>$D$48+$D$49+$D$50+G3+X3+$C$38*Y3+$C$37*H3+$C$38*K3+IF($C$37&gt;$C$38,($C$37-$C$38)*N3,($C$38-$C$37)*Q3)+T3+U3+$C$37*V3+$C$38*W3+F3</f>
        <v>595.77296308033942</v>
      </c>
      <c r="E3" s="12">
        <f>D3/12</f>
        <v>49.647746923361616</v>
      </c>
      <c r="F3" s="68"/>
      <c r="G3" s="13">
        <f>6.25*12</f>
        <v>75</v>
      </c>
      <c r="H3" s="15">
        <v>0</v>
      </c>
      <c r="I3" s="15">
        <v>0</v>
      </c>
      <c r="J3" s="15">
        <v>0</v>
      </c>
      <c r="K3" s="16">
        <v>0</v>
      </c>
      <c r="L3" s="16">
        <v>0</v>
      </c>
      <c r="M3" s="16">
        <v>0</v>
      </c>
      <c r="N3" s="15">
        <v>0</v>
      </c>
      <c r="O3" s="15">
        <v>0</v>
      </c>
      <c r="P3" s="15">
        <v>0</v>
      </c>
      <c r="Q3" s="16">
        <v>0</v>
      </c>
      <c r="R3" s="16">
        <v>0</v>
      </c>
      <c r="S3" s="16">
        <v>0</v>
      </c>
      <c r="T3" s="13">
        <f>SUM(N$38:N$49)</f>
        <v>454.38666801307483</v>
      </c>
      <c r="U3" s="14">
        <f>SUM(O$38:O$49)</f>
        <v>-89.063704932735419</v>
      </c>
      <c r="V3" s="15">
        <v>0.02</v>
      </c>
      <c r="W3" s="16">
        <v>-0.02</v>
      </c>
      <c r="X3" s="13">
        <v>0</v>
      </c>
      <c r="Y3" s="15">
        <v>0</v>
      </c>
      <c r="Z3" s="3"/>
      <c r="AA3" s="3"/>
      <c r="AC3" s="3"/>
      <c r="AD3" s="3"/>
      <c r="AE3" s="3"/>
      <c r="AF3" s="3"/>
      <c r="AG3" s="3"/>
    </row>
    <row r="4" spans="2:33" x14ac:dyDescent="0.25">
      <c r="B4" s="58" t="s">
        <v>80</v>
      </c>
      <c r="C4" s="59">
        <v>45567</v>
      </c>
      <c r="D4" s="12">
        <f>$D$48+$D$49+$D$50+G4+X4+$C$38*Y4+$C$37*H4+$C$38*K4+IF($C$37&gt;$C$38,($C$37-$C$38)*N4,($C$38-$C$37)*Q4)+T4+U4+$C$37*V4+$C$38*W4+F4</f>
        <v>597.21296308033948</v>
      </c>
      <c r="E4" s="12">
        <f>D4/12</f>
        <v>49.767746923361621</v>
      </c>
      <c r="F4" s="68"/>
      <c r="G4" s="13">
        <f>5.99*12</f>
        <v>71.88</v>
      </c>
      <c r="H4" s="15">
        <v>0</v>
      </c>
      <c r="I4" s="15">
        <v>0</v>
      </c>
      <c r="J4" s="15">
        <v>0</v>
      </c>
      <c r="K4" s="16">
        <v>0</v>
      </c>
      <c r="L4" s="16">
        <v>0</v>
      </c>
      <c r="M4" s="16">
        <v>0</v>
      </c>
      <c r="N4" s="15">
        <v>0</v>
      </c>
      <c r="O4" s="15">
        <v>0</v>
      </c>
      <c r="P4" s="15">
        <v>0</v>
      </c>
      <c r="Q4" s="16">
        <v>0</v>
      </c>
      <c r="R4" s="16">
        <v>0</v>
      </c>
      <c r="S4" s="16">
        <v>0</v>
      </c>
      <c r="T4" s="13">
        <f>SUM(N$38:N$49)</f>
        <v>454.38666801307483</v>
      </c>
      <c r="U4" s="14">
        <f>SUM(O$38:O$49)</f>
        <v>-89.063704932735419</v>
      </c>
      <c r="V4" s="15">
        <v>2.1899999999999999E-2</v>
      </c>
      <c r="W4" s="16">
        <v>-2.1899999999999999E-2</v>
      </c>
      <c r="X4" s="13">
        <v>0</v>
      </c>
      <c r="Y4" s="15">
        <v>0</v>
      </c>
      <c r="Z4" s="3"/>
      <c r="AA4" s="3"/>
      <c r="AC4" s="3"/>
      <c r="AD4" s="3"/>
      <c r="AE4" s="3"/>
      <c r="AF4" s="3"/>
      <c r="AG4" s="3"/>
    </row>
    <row r="5" spans="2:33" x14ac:dyDescent="0.25">
      <c r="B5" s="58" t="s">
        <v>81</v>
      </c>
      <c r="C5" s="59">
        <v>45566</v>
      </c>
      <c r="D5" s="12">
        <f>$D$48+$D$49+$D$50+G5+X5+$C$38*Y5+$C$37*H5+$C$38*K5+IF($C$37&gt;$C$38,($C$37-$C$38)*N5,($C$38-$C$37)*Q5)+T5+U5+$C$37*V5+$C$38*W5+F5</f>
        <v>600.28496308033937</v>
      </c>
      <c r="E5" s="12">
        <f>D5/12</f>
        <v>50.023746923361614</v>
      </c>
      <c r="F5" s="68"/>
      <c r="G5" s="13">
        <v>75</v>
      </c>
      <c r="H5" s="15">
        <v>0</v>
      </c>
      <c r="I5" s="15">
        <v>0</v>
      </c>
      <c r="J5" s="15">
        <v>0</v>
      </c>
      <c r="K5" s="16">
        <v>0</v>
      </c>
      <c r="L5" s="16">
        <v>0</v>
      </c>
      <c r="M5" s="16">
        <v>0</v>
      </c>
      <c r="N5" s="15">
        <v>0</v>
      </c>
      <c r="O5" s="15">
        <v>0</v>
      </c>
      <c r="P5" s="15">
        <v>0</v>
      </c>
      <c r="Q5" s="16">
        <v>0</v>
      </c>
      <c r="R5" s="16">
        <v>0</v>
      </c>
      <c r="S5" s="16">
        <v>0</v>
      </c>
      <c r="T5" s="13">
        <f>SUM(N$38:N$49)</f>
        <v>454.38666801307483</v>
      </c>
      <c r="U5" s="14">
        <f>SUM(O$38:O$49)</f>
        <v>-89.063704932735419</v>
      </c>
      <c r="V5" s="15">
        <v>2.188E-2</v>
      </c>
      <c r="W5" s="16">
        <v>-2.188E-2</v>
      </c>
      <c r="X5" s="13"/>
      <c r="Y5" s="15"/>
      <c r="Z5" s="3"/>
      <c r="AA5" s="3"/>
      <c r="AC5" s="3"/>
      <c r="AD5" s="3"/>
      <c r="AE5" s="3"/>
      <c r="AF5" s="3"/>
      <c r="AG5" s="3"/>
    </row>
    <row r="6" spans="2:33" x14ac:dyDescent="0.25">
      <c r="B6" s="58" t="s">
        <v>82</v>
      </c>
      <c r="C6" s="59">
        <v>45567</v>
      </c>
      <c r="D6" s="12">
        <f>$D$48+$D$49+$D$50+G6+X6+$C$38*Y6+$C$37*H6+$C$38*K6+IF($C$37&gt;$C$38,($C$37-$C$38)*N6,($C$38-$C$37)*Q6)+T6+U6+$C$37*V6+$C$38*W6+F6</f>
        <v>604.18496308033934</v>
      </c>
      <c r="E6" s="12">
        <f>D6/12</f>
        <v>50.34874692336161</v>
      </c>
      <c r="F6" s="68"/>
      <c r="G6" s="13">
        <f>5.99*12</f>
        <v>71.88</v>
      </c>
      <c r="H6" s="15">
        <v>0</v>
      </c>
      <c r="I6" s="15">
        <v>0</v>
      </c>
      <c r="J6" s="15">
        <v>0</v>
      </c>
      <c r="K6" s="16">
        <v>0</v>
      </c>
      <c r="L6" s="16">
        <v>0</v>
      </c>
      <c r="M6" s="16">
        <v>0</v>
      </c>
      <c r="N6" s="15">
        <v>0</v>
      </c>
      <c r="O6" s="15">
        <v>0</v>
      </c>
      <c r="P6" s="15">
        <v>0</v>
      </c>
      <c r="Q6" s="16">
        <v>0</v>
      </c>
      <c r="R6" s="16">
        <v>0</v>
      </c>
      <c r="S6" s="16">
        <v>0</v>
      </c>
      <c r="T6" s="13">
        <f>SUM(N$38:N$49)</f>
        <v>454.38666801307483</v>
      </c>
      <c r="U6" s="14">
        <f>SUM(O$38:O$49)</f>
        <v>-89.063704932735419</v>
      </c>
      <c r="V6" s="15">
        <v>2.4805000000000001E-2</v>
      </c>
      <c r="W6" s="16">
        <v>-2.4805000000000001E-2</v>
      </c>
      <c r="X6" s="13">
        <v>0</v>
      </c>
      <c r="Y6" s="15">
        <v>0</v>
      </c>
      <c r="Z6" s="3"/>
      <c r="AA6" s="3"/>
      <c r="AC6" s="3"/>
      <c r="AD6" s="3"/>
      <c r="AE6" s="3"/>
      <c r="AF6" s="3"/>
      <c r="AG6" s="3"/>
    </row>
    <row r="7" spans="2:33" x14ac:dyDescent="0.25">
      <c r="B7" s="58" t="s">
        <v>88</v>
      </c>
      <c r="C7" s="59">
        <v>45567</v>
      </c>
      <c r="D7" s="12">
        <f>$D$48+$D$49+$D$50+G7+X7+$C$38*Y7+$C$37*H7+$C$38*K7+IF($C$37&gt;$C$38,($C$37-$C$38)*N7,($C$38-$C$37)*Q7)+T7+U7+$C$37*V7+$C$38*W7+F7</f>
        <v>641.46896308033934</v>
      </c>
      <c r="E7" s="12">
        <f>D7/12</f>
        <v>53.455746923361609</v>
      </c>
      <c r="F7" s="68"/>
      <c r="G7" s="13">
        <f>8.99*12</f>
        <v>107.88</v>
      </c>
      <c r="H7" s="15">
        <v>0</v>
      </c>
      <c r="I7" s="15">
        <v>0</v>
      </c>
      <c r="J7" s="15">
        <v>0</v>
      </c>
      <c r="K7" s="16">
        <v>0</v>
      </c>
      <c r="L7" s="16">
        <v>0</v>
      </c>
      <c r="M7" s="16">
        <v>0</v>
      </c>
      <c r="N7" s="15">
        <v>0</v>
      </c>
      <c r="O7" s="15">
        <v>0</v>
      </c>
      <c r="P7" s="15">
        <v>0</v>
      </c>
      <c r="Q7" s="16">
        <v>0</v>
      </c>
      <c r="R7" s="16">
        <v>0</v>
      </c>
      <c r="S7" s="16">
        <v>0</v>
      </c>
      <c r="T7" s="13">
        <f>SUM(N$38:N$49)</f>
        <v>454.38666801307483</v>
      </c>
      <c r="U7" s="14">
        <f>SUM(O$38:O$49)</f>
        <v>-89.063704932735419</v>
      </c>
      <c r="V7" s="15">
        <v>2.5340000000000001E-2</v>
      </c>
      <c r="W7" s="16">
        <v>-2.5340000000000001E-2</v>
      </c>
      <c r="X7" s="13">
        <v>0</v>
      </c>
      <c r="Y7" s="15">
        <v>0</v>
      </c>
      <c r="Z7" s="3"/>
      <c r="AA7" s="3"/>
      <c r="AC7" s="3"/>
      <c r="AD7" s="3"/>
      <c r="AE7" s="3"/>
      <c r="AF7" s="3"/>
      <c r="AG7" s="3"/>
    </row>
    <row r="8" spans="2:33" x14ac:dyDescent="0.25">
      <c r="B8" s="58" t="s">
        <v>83</v>
      </c>
      <c r="C8" s="59">
        <v>45567</v>
      </c>
      <c r="D8" s="12">
        <f>$D$48+$D$49+$D$50+G8+X8+$C$38*Y8+$C$37*H8+$C$38*K8+IF($C$37&gt;$C$38,($C$37-$C$38)*N8,($C$38-$C$37)*Q8)+T8+U8+$C$37*V8+$C$38*W8+F8</f>
        <v>644.20496308033944</v>
      </c>
      <c r="E8" s="12">
        <f>D8/12</f>
        <v>53.683746923361618</v>
      </c>
      <c r="F8" s="68"/>
      <c r="G8" s="13">
        <f>7.51*12</f>
        <v>90.12</v>
      </c>
      <c r="H8" s="15">
        <v>0</v>
      </c>
      <c r="I8" s="15">
        <v>0</v>
      </c>
      <c r="J8" s="15">
        <v>0</v>
      </c>
      <c r="K8" s="16">
        <v>0</v>
      </c>
      <c r="L8" s="16">
        <v>0</v>
      </c>
      <c r="M8" s="16">
        <v>0</v>
      </c>
      <c r="N8" s="15">
        <v>0</v>
      </c>
      <c r="O8" s="15">
        <v>0</v>
      </c>
      <c r="P8" s="15">
        <v>0</v>
      </c>
      <c r="Q8" s="16">
        <v>0</v>
      </c>
      <c r="R8" s="16">
        <v>0</v>
      </c>
      <c r="S8" s="16">
        <v>0</v>
      </c>
      <c r="T8" s="13">
        <f>SUM(N$38:N$49)</f>
        <v>454.38666801307483</v>
      </c>
      <c r="U8" s="14">
        <f>SUM(O$38:O$49)</f>
        <v>-89.063704932735419</v>
      </c>
      <c r="V8" s="15">
        <v>3.388E-2</v>
      </c>
      <c r="W8" s="16">
        <v>-3.388E-2</v>
      </c>
      <c r="X8" s="13">
        <v>0</v>
      </c>
      <c r="Y8" s="15">
        <v>0</v>
      </c>
      <c r="Z8" s="3"/>
      <c r="AA8" s="3"/>
      <c r="AC8" s="3"/>
      <c r="AD8" s="3"/>
      <c r="AE8" s="3"/>
      <c r="AF8" s="3"/>
      <c r="AG8" s="3"/>
    </row>
    <row r="9" spans="2:33" x14ac:dyDescent="0.25">
      <c r="B9" s="58" t="s">
        <v>84</v>
      </c>
      <c r="C9" s="59">
        <v>45567</v>
      </c>
      <c r="D9" s="12">
        <f>$D$48+$D$49+$D$50+G9+X9+$C$38*Y9+$C$37*H9+$C$38*K9+IF($C$37&gt;$C$38,($C$37-$C$38)*N9,($C$38-$C$37)*Q9)+T9+U9+$C$37*V9+$C$38*W9+F9</f>
        <v>645.40496308033948</v>
      </c>
      <c r="E9" s="12">
        <f>D9/12</f>
        <v>53.783746923361626</v>
      </c>
      <c r="F9" s="68"/>
      <c r="G9" s="13">
        <f>5.99*12</f>
        <v>71.88</v>
      </c>
      <c r="H9" s="15">
        <v>0</v>
      </c>
      <c r="I9" s="15">
        <v>0</v>
      </c>
      <c r="J9" s="15">
        <v>0</v>
      </c>
      <c r="K9" s="16">
        <v>0</v>
      </c>
      <c r="L9" s="16">
        <v>0</v>
      </c>
      <c r="M9" s="16">
        <v>0</v>
      </c>
      <c r="N9" s="15">
        <v>0</v>
      </c>
      <c r="O9" s="15">
        <v>0</v>
      </c>
      <c r="P9" s="15">
        <v>0</v>
      </c>
      <c r="Q9" s="16">
        <v>0</v>
      </c>
      <c r="R9" s="16">
        <v>0</v>
      </c>
      <c r="S9" s="16">
        <v>0</v>
      </c>
      <c r="T9" s="13">
        <f>SUM(N$38:N$49)</f>
        <v>454.38666801307483</v>
      </c>
      <c r="U9" s="14">
        <f>SUM(O$38:O$49)</f>
        <v>-89.063704932735419</v>
      </c>
      <c r="V9" s="15">
        <v>2.0990000000000002E-2</v>
      </c>
      <c r="W9" s="16">
        <v>0</v>
      </c>
      <c r="X9" s="13">
        <v>0</v>
      </c>
      <c r="Y9" s="15">
        <v>0</v>
      </c>
      <c r="Z9" s="3"/>
      <c r="AA9" s="3"/>
      <c r="AC9" s="3"/>
      <c r="AD9" s="3"/>
      <c r="AE9" s="3"/>
      <c r="AF9" s="3"/>
      <c r="AG9" s="3"/>
    </row>
    <row r="10" spans="2:33" x14ac:dyDescent="0.25">
      <c r="B10" s="58" t="s">
        <v>85</v>
      </c>
      <c r="C10" s="59">
        <v>45567</v>
      </c>
      <c r="D10" s="12">
        <f>$D$48+$D$49+$D$50+G10+X10+$C$38*Y10+$C$37*H10+$C$38*K10+IF($C$37&gt;$C$38,($C$37-$C$38)*N10,($C$38-$C$37)*Q10)+T10+U10+$C$37*V10+$C$38*W10+F10</f>
        <v>665.37296308033945</v>
      </c>
      <c r="E10" s="12">
        <f>D10/12</f>
        <v>55.44774692336162</v>
      </c>
      <c r="F10" s="68"/>
      <c r="G10" s="13">
        <f>6.05*12</f>
        <v>72.599999999999994</v>
      </c>
      <c r="H10" s="15">
        <v>0</v>
      </c>
      <c r="I10" s="15">
        <v>0</v>
      </c>
      <c r="J10" s="15">
        <v>0</v>
      </c>
      <c r="K10" s="16">
        <v>0</v>
      </c>
      <c r="L10" s="16">
        <v>0</v>
      </c>
      <c r="M10" s="16">
        <v>0</v>
      </c>
      <c r="N10" s="15">
        <v>0</v>
      </c>
      <c r="O10" s="15">
        <v>0</v>
      </c>
      <c r="P10" s="15">
        <v>0</v>
      </c>
      <c r="Q10" s="16">
        <v>0</v>
      </c>
      <c r="R10" s="16">
        <v>0</v>
      </c>
      <c r="S10" s="16">
        <v>0</v>
      </c>
      <c r="T10" s="13">
        <f>SUM(N$38:N$49)</f>
        <v>454.38666801307483</v>
      </c>
      <c r="U10" s="14">
        <f>SUM(O$38:O$49)</f>
        <v>-89.063704932735419</v>
      </c>
      <c r="V10" s="15">
        <v>2.5000000000000001E-2</v>
      </c>
      <c r="W10" s="16">
        <v>0</v>
      </c>
      <c r="X10" s="13">
        <v>0</v>
      </c>
      <c r="Y10" s="15">
        <v>0</v>
      </c>
      <c r="Z10" s="3"/>
      <c r="AA10" s="3"/>
      <c r="AC10" s="3"/>
      <c r="AD10" s="3"/>
      <c r="AE10" s="3"/>
      <c r="AF10" s="3"/>
      <c r="AG10" s="3"/>
    </row>
    <row r="11" spans="2:33" x14ac:dyDescent="0.25">
      <c r="B11" s="60" t="s">
        <v>109</v>
      </c>
      <c r="C11" s="59">
        <v>45567</v>
      </c>
      <c r="D11" s="12">
        <f>$D$48+$D$49+$D$50+G11+X11+$C$38*Y11+$C$37*H11+$C$38*K11+IF($C$37&gt;$C$38,($C$37-$C$38)*N11,($C$38-$C$37)*Q11)+T11+U11+$C$37*V11+$C$38*W11+F11</f>
        <v>668.75679999999988</v>
      </c>
      <c r="E11" s="12">
        <f>D11/12</f>
        <v>55.729733333333321</v>
      </c>
      <c r="F11" s="68"/>
      <c r="G11" s="13">
        <v>84.7</v>
      </c>
      <c r="H11" s="15">
        <v>0</v>
      </c>
      <c r="I11" s="15">
        <v>0</v>
      </c>
      <c r="J11" s="15">
        <v>0</v>
      </c>
      <c r="K11" s="16">
        <v>0</v>
      </c>
      <c r="L11" s="16">
        <v>0</v>
      </c>
      <c r="M11" s="16">
        <v>0</v>
      </c>
      <c r="N11" s="15">
        <f>O11*$G$37/($G$37+$H$37)+P11*$H$37/($G$37+$H$37)-$D$52</f>
        <v>0.12816949999999999</v>
      </c>
      <c r="O11" s="15">
        <v>0.27450999999999998</v>
      </c>
      <c r="P11" s="15">
        <f>0.2478</f>
        <v>0.24779999999999999</v>
      </c>
      <c r="Q11" s="16">
        <f>R11*$G$38/($G$38+$H$38)+S11*$H$38/($G$38+$H$38)</f>
        <v>-6.3950000000000007E-2</v>
      </c>
      <c r="R11" s="16">
        <v>-6.3950000000000007E-2</v>
      </c>
      <c r="S11" s="16">
        <v>-6.3950000000000007E-2</v>
      </c>
      <c r="T11" s="13">
        <v>0</v>
      </c>
      <c r="U11" s="14">
        <v>0</v>
      </c>
      <c r="V11" s="15">
        <v>0</v>
      </c>
      <c r="W11" s="16">
        <v>0</v>
      </c>
      <c r="X11" s="13">
        <f>_xlfn.XLOOKUP("Ja",'Tabellen Terugleverkosten'!C:C,'Tabellen Terugleverkosten'!U:U,0)</f>
        <v>169</v>
      </c>
      <c r="Y11" s="15">
        <v>0</v>
      </c>
      <c r="Z11" s="3"/>
      <c r="AA11" s="3"/>
      <c r="AC11" s="3"/>
      <c r="AD11" s="3"/>
      <c r="AE11" s="3"/>
      <c r="AF11" s="3"/>
      <c r="AG11" s="3"/>
    </row>
    <row r="12" spans="2:33" x14ac:dyDescent="0.25">
      <c r="B12" s="58" t="s">
        <v>86</v>
      </c>
      <c r="C12" s="59">
        <v>45567</v>
      </c>
      <c r="D12" s="12">
        <f>$D$48+$D$49+$D$50+G12+X12+$C$38*Y12+$C$37*H12+$C$38*K12+IF($C$37&gt;$C$38,($C$37-$C$38)*N12,($C$38-$C$37)*Q12)+T12+U12+$C$37*V12+$C$38*W12+F12</f>
        <v>673.05296308033951</v>
      </c>
      <c r="E12" s="12">
        <f>D12/12</f>
        <v>56.087746923361628</v>
      </c>
      <c r="F12" s="68"/>
      <c r="G12" s="13">
        <f>7.01*12</f>
        <v>84.12</v>
      </c>
      <c r="H12" s="15">
        <v>0</v>
      </c>
      <c r="I12" s="15">
        <v>0</v>
      </c>
      <c r="J12" s="15">
        <v>0</v>
      </c>
      <c r="K12" s="16">
        <v>0</v>
      </c>
      <c r="L12" s="16">
        <v>0</v>
      </c>
      <c r="M12" s="16">
        <v>0</v>
      </c>
      <c r="N12" s="15">
        <v>0</v>
      </c>
      <c r="O12" s="15">
        <v>0</v>
      </c>
      <c r="P12" s="15">
        <v>0</v>
      </c>
      <c r="Q12" s="16">
        <v>0</v>
      </c>
      <c r="R12" s="16">
        <v>0</v>
      </c>
      <c r="S12" s="16">
        <v>0</v>
      </c>
      <c r="T12" s="13">
        <f>SUM(N$38:N$49)</f>
        <v>454.38666801307483</v>
      </c>
      <c r="U12" s="14">
        <f>SUM(O$38:O$49)</f>
        <v>-89.063704932735419</v>
      </c>
      <c r="V12" s="15">
        <v>4.8399999999999999E-2</v>
      </c>
      <c r="W12" s="16">
        <v>-4.8399999999999999E-2</v>
      </c>
      <c r="X12" s="13">
        <v>0</v>
      </c>
      <c r="Y12" s="15">
        <v>0</v>
      </c>
      <c r="Z12" s="3"/>
      <c r="AA12" s="3"/>
      <c r="AC12" s="3"/>
      <c r="AD12" s="3"/>
      <c r="AE12" s="3"/>
      <c r="AF12" s="3"/>
      <c r="AG12" s="3"/>
    </row>
    <row r="13" spans="2:33" x14ac:dyDescent="0.25">
      <c r="B13" s="58" t="s">
        <v>87</v>
      </c>
      <c r="C13" s="59">
        <v>45566</v>
      </c>
      <c r="D13" s="12">
        <f>$D$48+$D$49+$D$50+G13+X13+$C$38*Y13+$C$37*H13+$C$38*K13+IF($C$37&gt;$C$38,($C$37-$C$38)*N13,($C$38-$C$37)*Q13)+T13+U13+$C$37*V13+$C$38*W13+F13</f>
        <v>674.61296308033945</v>
      </c>
      <c r="E13" s="12">
        <f>D13/12</f>
        <v>56.217746923361624</v>
      </c>
      <c r="F13" s="68"/>
      <c r="G13" s="13">
        <f>7*12</f>
        <v>84</v>
      </c>
      <c r="H13" s="15">
        <v>0</v>
      </c>
      <c r="I13" s="15">
        <v>0</v>
      </c>
      <c r="J13" s="15">
        <v>0</v>
      </c>
      <c r="K13" s="16">
        <v>0</v>
      </c>
      <c r="L13" s="16">
        <v>0</v>
      </c>
      <c r="M13" s="16">
        <v>0</v>
      </c>
      <c r="N13" s="15">
        <v>0</v>
      </c>
      <c r="O13" s="15">
        <v>0</v>
      </c>
      <c r="P13" s="15">
        <v>0</v>
      </c>
      <c r="Q13" s="16">
        <v>0</v>
      </c>
      <c r="R13" s="16">
        <v>0</v>
      </c>
      <c r="S13" s="16">
        <v>0</v>
      </c>
      <c r="T13" s="13">
        <f>SUM(N$38:N$49)</f>
        <v>454.38666801307483</v>
      </c>
      <c r="U13" s="14">
        <f>SUM(O$38:O$49)</f>
        <v>-89.063704932735419</v>
      </c>
      <c r="V13" s="15">
        <v>1.8200000000000001E-2</v>
      </c>
      <c r="W13" s="15">
        <v>1.2699999999999999E-2</v>
      </c>
      <c r="X13" s="13">
        <v>0</v>
      </c>
      <c r="Y13" s="15">
        <v>0</v>
      </c>
      <c r="Z13" s="3"/>
      <c r="AA13" s="3"/>
      <c r="AC13" s="25"/>
      <c r="AD13" s="3"/>
      <c r="AE13" s="3"/>
      <c r="AF13" s="3"/>
      <c r="AG13" s="3"/>
    </row>
    <row r="14" spans="2:33" x14ac:dyDescent="0.25">
      <c r="B14" s="58" t="s">
        <v>90</v>
      </c>
      <c r="C14" s="59">
        <v>45566</v>
      </c>
      <c r="D14" s="12">
        <f>$D$48+$D$49+$D$50+G14+X14+$C$38*Y14+$C$37*H14+$C$38*K14+IF($C$37&gt;$C$38,($C$37-$C$38)*N14,($C$38-$C$37)*Q14)+T14+U14+$C$37*V14+$C$38*W14+F14</f>
        <v>729.07639999999981</v>
      </c>
      <c r="E14" s="12">
        <f>D14/12</f>
        <v>60.756366666666651</v>
      </c>
      <c r="F14" s="68">
        <v>-75</v>
      </c>
      <c r="G14" s="13">
        <f>8.5*12</f>
        <v>102</v>
      </c>
      <c r="H14" s="15">
        <v>0</v>
      </c>
      <c r="I14" s="15">
        <v>0</v>
      </c>
      <c r="J14" s="15">
        <v>0</v>
      </c>
      <c r="K14" s="16">
        <v>0</v>
      </c>
      <c r="L14" s="16">
        <v>0</v>
      </c>
      <c r="M14" s="16">
        <v>0</v>
      </c>
      <c r="N14" s="15">
        <f>O14*$G$37/($G$37+$H$37)+P14*$H$37/($G$37+$H$37)-$D$52</f>
        <v>0.12901099999999993</v>
      </c>
      <c r="O14" s="15">
        <f>0.14594+$D$52</f>
        <v>0.27759</v>
      </c>
      <c r="P14" s="15">
        <f>0.11516+$D$52</f>
        <v>0.24680999999999997</v>
      </c>
      <c r="Q14" s="16">
        <f>R14*$G$38/($G$38+$H$38)+S14*$H$38/($G$38+$H$38)</f>
        <v>-0.1357826</v>
      </c>
      <c r="R14" s="16">
        <v>-0.14593999999999999</v>
      </c>
      <c r="S14" s="16">
        <v>-0.11516</v>
      </c>
      <c r="T14" s="13">
        <v>0</v>
      </c>
      <c r="U14" s="14">
        <v>0</v>
      </c>
      <c r="V14" s="15">
        <v>0</v>
      </c>
      <c r="W14" s="16">
        <v>0</v>
      </c>
      <c r="X14" s="13">
        <f>_xlfn.XLOOKUP("Ja",'Tabellen Terugleverkosten'!C:C,'Tabellen Terugleverkosten'!I:I,0)</f>
        <v>285</v>
      </c>
      <c r="Y14" s="15">
        <v>0</v>
      </c>
      <c r="Z14" s="3"/>
      <c r="AA14" s="3"/>
      <c r="AC14" s="3"/>
      <c r="AD14" s="3"/>
      <c r="AE14" s="3"/>
      <c r="AF14" s="3"/>
      <c r="AG14" s="3"/>
    </row>
    <row r="15" spans="2:33" x14ac:dyDescent="0.25">
      <c r="B15" s="58" t="s">
        <v>91</v>
      </c>
      <c r="C15" s="59">
        <v>45566</v>
      </c>
      <c r="D15" s="12">
        <f>$D$48+$D$49+$D$50+G15+X15+$C$38*Y15+$C$37*H15+$C$38*K15+IF($C$37&gt;$C$38,($C$37-$C$38)*N15,($C$38-$C$37)*Q15)+T15+U15+$C$37*V15+$C$38*W15+F15</f>
        <v>729.19479999999999</v>
      </c>
      <c r="E15" s="12">
        <f>D15/12</f>
        <v>60.766233333333332</v>
      </c>
      <c r="F15" s="68"/>
      <c r="G15" s="13">
        <f>7.06*12</f>
        <v>84.72</v>
      </c>
      <c r="H15" s="15">
        <v>0</v>
      </c>
      <c r="I15" s="15">
        <v>0</v>
      </c>
      <c r="J15" s="15">
        <v>0</v>
      </c>
      <c r="K15" s="16">
        <v>0</v>
      </c>
      <c r="L15" s="16">
        <v>0</v>
      </c>
      <c r="M15" s="16">
        <v>0</v>
      </c>
      <c r="N15" s="15">
        <f>O15*$G$37/($G$37+$H$37)+P15*$H$37/($G$37+$H$37)-$D$52</f>
        <v>0.15317700000000001</v>
      </c>
      <c r="O15" s="15">
        <f>0.29696</f>
        <v>0.29696</v>
      </c>
      <c r="P15" s="15">
        <f>0.2749</f>
        <v>0.27489999999999998</v>
      </c>
      <c r="Q15" s="16">
        <f>R15*$G$38/($G$38+$H$38)+S15*$H$38/($G$38+$H$38)</f>
        <v>-9.4820799999999997E-2</v>
      </c>
      <c r="R15" s="16">
        <v>-9.919E-2</v>
      </c>
      <c r="S15" s="16">
        <f>-0.08595</f>
        <v>-8.5949999999999999E-2</v>
      </c>
      <c r="T15" s="13">
        <v>0</v>
      </c>
      <c r="U15" s="14">
        <v>0</v>
      </c>
      <c r="V15" s="15">
        <v>0</v>
      </c>
      <c r="W15" s="16">
        <v>0</v>
      </c>
      <c r="X15" s="13">
        <f>_xlfn.XLOOKUP("Ja",'Tabellen Terugleverkosten'!C:C,'Tabellen Terugleverkosten'!T:T,0)</f>
        <v>169.4</v>
      </c>
      <c r="Y15" s="15">
        <v>0</v>
      </c>
      <c r="Z15" s="3"/>
      <c r="AA15" s="3"/>
      <c r="AC15" s="25"/>
      <c r="AD15" s="3"/>
      <c r="AE15" s="3"/>
      <c r="AF15" s="3"/>
      <c r="AG15" s="3"/>
    </row>
    <row r="16" spans="2:33" x14ac:dyDescent="0.25">
      <c r="B16" s="60" t="s">
        <v>92</v>
      </c>
      <c r="C16" s="59">
        <v>45567</v>
      </c>
      <c r="D16" s="12">
        <f>$D$48+$D$49+$D$50+G16+X16+$C$38*Y16+$C$37*H16+$C$38*K16+IF($C$37&gt;$C$38,($C$37-$C$38)*N16,($C$38-$C$37)*Q16)+T16+U16+$C$37*V16+$C$38*W16+F16</f>
        <v>739.37</v>
      </c>
      <c r="E16" s="12">
        <f>D16/12</f>
        <v>61.614166666666669</v>
      </c>
      <c r="F16" s="68"/>
      <c r="G16" s="13">
        <f>9.99*12</f>
        <v>119.88</v>
      </c>
      <c r="H16" s="15">
        <v>0</v>
      </c>
      <c r="I16" s="15">
        <v>0</v>
      </c>
      <c r="J16" s="15">
        <v>0</v>
      </c>
      <c r="K16" s="16">
        <v>0</v>
      </c>
      <c r="L16" s="16">
        <v>0</v>
      </c>
      <c r="M16" s="16">
        <v>0</v>
      </c>
      <c r="N16" s="15">
        <f>O16*$G$37/($G$37+$H$37)+P16*$H$37/($G$37+$H$37)-$D$52</f>
        <v>0.11335000000000001</v>
      </c>
      <c r="O16" s="15">
        <v>0.245</v>
      </c>
      <c r="P16" s="15">
        <v>0.245</v>
      </c>
      <c r="Q16" s="16">
        <f>R16*$G$38/($G$38+$H$38)+S16*$H$38/($G$38+$H$38)</f>
        <v>-0.13</v>
      </c>
      <c r="R16" s="16">
        <v>-0.13</v>
      </c>
      <c r="S16" s="16">
        <v>-0.13</v>
      </c>
      <c r="T16" s="13">
        <v>0</v>
      </c>
      <c r="U16" s="14">
        <v>0</v>
      </c>
      <c r="V16" s="15">
        <v>0</v>
      </c>
      <c r="W16" s="16">
        <v>0</v>
      </c>
      <c r="X16" s="13">
        <f>_xlfn.XLOOKUP("Ja",'Tabellen Terugleverkosten'!C:C,'Tabellen Terugleverkosten'!Q:Q,0)</f>
        <v>240</v>
      </c>
      <c r="Y16" s="15">
        <v>0</v>
      </c>
      <c r="Z16" s="3"/>
      <c r="AA16" s="3"/>
      <c r="AC16" s="3"/>
      <c r="AD16" s="3"/>
      <c r="AE16" s="3"/>
      <c r="AF16" s="3"/>
      <c r="AG16" s="3"/>
    </row>
    <row r="17" spans="2:33" x14ac:dyDescent="0.25">
      <c r="B17" s="60" t="s">
        <v>102</v>
      </c>
      <c r="C17" s="59">
        <v>45571</v>
      </c>
      <c r="D17" s="12">
        <f>$D$48+$D$49+$D$50+G17+X17+$C$38*Y17+$C$37*H17+$C$38*K17+IF($C$37&gt;$C$38,($C$37-$C$38)*N17,($C$38-$C$37)*Q17)+T17+U17+$C$37*V17+$C$38*W17+F17</f>
        <v>750.52920000000006</v>
      </c>
      <c r="E17" s="12">
        <f>D17/12</f>
        <v>62.544100000000007</v>
      </c>
      <c r="F17" s="68">
        <v>-102</v>
      </c>
      <c r="G17" s="13">
        <f>139.15</f>
        <v>139.15</v>
      </c>
      <c r="H17" s="15">
        <v>0</v>
      </c>
      <c r="I17" s="15">
        <v>0</v>
      </c>
      <c r="J17" s="15">
        <v>0</v>
      </c>
      <c r="K17" s="16">
        <v>0</v>
      </c>
      <c r="L17" s="16">
        <v>0</v>
      </c>
      <c r="M17" s="16">
        <v>0</v>
      </c>
      <c r="N17" s="15">
        <f>O17*$G$37/($G$37+$H$37)+P17*$H$37/($G$37+$H$37)-$D$52</f>
        <v>0.15922050000000004</v>
      </c>
      <c r="O17" s="15">
        <v>0.29785</v>
      </c>
      <c r="P17" s="15">
        <v>0.28516000000000002</v>
      </c>
      <c r="Q17" s="16">
        <f>R17*$G$38/($G$38+$H$38)+S17*$H$38/($G$38+$H$38)</f>
        <v>-0.05</v>
      </c>
      <c r="R17" s="16">
        <v>-0.05</v>
      </c>
      <c r="S17" s="16">
        <v>-0.05</v>
      </c>
      <c r="T17" s="13">
        <v>0</v>
      </c>
      <c r="U17" s="14">
        <v>0</v>
      </c>
      <c r="V17" s="15">
        <v>0</v>
      </c>
      <c r="W17" s="16">
        <v>0</v>
      </c>
      <c r="X17" s="13">
        <f>_xlfn.XLOOKUP("Ja",'Tabellen Terugleverkosten'!C:C,'Tabellen Terugleverkosten'!R:R,0)</f>
        <v>223.8</v>
      </c>
      <c r="Y17" s="15">
        <v>0</v>
      </c>
      <c r="Z17" s="3"/>
      <c r="AA17" s="3"/>
      <c r="AC17" s="3"/>
      <c r="AD17" s="3"/>
      <c r="AE17" s="3"/>
      <c r="AF17" s="3"/>
      <c r="AG17" s="3"/>
    </row>
    <row r="18" spans="2:33" x14ac:dyDescent="0.25">
      <c r="B18" s="58" t="s">
        <v>93</v>
      </c>
      <c r="C18" s="59">
        <v>45567</v>
      </c>
      <c r="D18" s="12">
        <f>$D$48+$D$49+$D$50+G18+X18+$C$38*Y18+$C$37*H18+$C$38*K18+IF($C$37&gt;$C$38,($C$37-$C$38)*N18,($C$38-$C$37)*Q18)+T18+U18+$C$37*V18+$C$38*W18+F18</f>
        <v>766.40599999999995</v>
      </c>
      <c r="E18" s="12">
        <f>D18/12</f>
        <v>63.867166666666662</v>
      </c>
      <c r="F18" s="68"/>
      <c r="G18" s="13">
        <f>9.32*12</f>
        <v>111.84</v>
      </c>
      <c r="H18" s="15">
        <v>0</v>
      </c>
      <c r="I18" s="15">
        <v>0</v>
      </c>
      <c r="J18" s="15">
        <v>0</v>
      </c>
      <c r="K18" s="16">
        <v>0</v>
      </c>
      <c r="L18" s="16">
        <v>0</v>
      </c>
      <c r="M18" s="16">
        <v>0</v>
      </c>
      <c r="N18" s="15">
        <f>O18*$G$37/($G$37+$H$37)+P18*$H$37/($G$37+$H$37)-$D$52</f>
        <v>0.11180499999999999</v>
      </c>
      <c r="O18" s="15">
        <v>0.23680000000000001</v>
      </c>
      <c r="P18" s="15">
        <v>0.24890000000000001</v>
      </c>
      <c r="Q18" s="16">
        <f>R18*$G$38/($G$38+$H$38)+S18*$H$38/($G$38+$H$38)</f>
        <v>-0.14499999999999999</v>
      </c>
      <c r="R18" s="16">
        <v>-0.14499999999999999</v>
      </c>
      <c r="S18" s="16">
        <v>-0.14499999999999999</v>
      </c>
      <c r="T18" s="13">
        <v>0</v>
      </c>
      <c r="U18" s="14">
        <v>0</v>
      </c>
      <c r="V18" s="15">
        <v>0</v>
      </c>
      <c r="W18" s="16">
        <v>0</v>
      </c>
      <c r="X18" s="13">
        <v>0</v>
      </c>
      <c r="Y18" s="15">
        <v>0.11616</v>
      </c>
      <c r="Z18" s="3"/>
      <c r="AA18" s="3"/>
      <c r="AC18" s="3"/>
      <c r="AD18" s="3"/>
      <c r="AE18" s="3"/>
      <c r="AF18" s="3"/>
      <c r="AG18" s="3"/>
    </row>
    <row r="19" spans="2:33" x14ac:dyDescent="0.25">
      <c r="B19" s="60" t="s">
        <v>94</v>
      </c>
      <c r="C19" s="59">
        <v>45567</v>
      </c>
      <c r="D19" s="12">
        <f>$D$48+$D$49+$D$50+G19+X19+$C$38*Y19+$C$37*H19+$C$38*K19+IF($C$37&gt;$C$38,($C$37-$C$38)*N19,($C$38-$C$37)*Q19)+T19+U19+$C$37*V19+$C$38*W19+F19</f>
        <v>767.86040000000003</v>
      </c>
      <c r="E19" s="12">
        <f>D19/12</f>
        <v>63.988366666666671</v>
      </c>
      <c r="F19" s="68"/>
      <c r="G19" s="13">
        <f>8.495*12</f>
        <v>101.94</v>
      </c>
      <c r="H19" s="15">
        <v>0</v>
      </c>
      <c r="I19" s="15">
        <v>0</v>
      </c>
      <c r="J19" s="15">
        <v>0</v>
      </c>
      <c r="K19" s="16">
        <v>0</v>
      </c>
      <c r="L19" s="16">
        <v>0</v>
      </c>
      <c r="M19" s="16">
        <v>0</v>
      </c>
      <c r="N19" s="15">
        <f>O19*$G$37/($G$37+$H$37)+P19*$H$37/($G$37+$H$37)-$D$52</f>
        <v>0.150696</v>
      </c>
      <c r="O19" s="15">
        <f>0.15723+$D$52</f>
        <v>0.28888000000000003</v>
      </c>
      <c r="P19" s="15">
        <f>0.14535+$D$52</f>
        <v>0.27700000000000002</v>
      </c>
      <c r="Q19" s="16">
        <f>R19*$G$38/($G$38+$H$38)+S19*$H$38/($G$38+$H$38)</f>
        <v>-0.1</v>
      </c>
      <c r="R19" s="16">
        <v>-0.1</v>
      </c>
      <c r="S19" s="16">
        <v>-0.1</v>
      </c>
      <c r="T19" s="13">
        <v>0</v>
      </c>
      <c r="U19" s="14">
        <v>0</v>
      </c>
      <c r="V19" s="15">
        <v>0</v>
      </c>
      <c r="W19" s="16">
        <v>0</v>
      </c>
      <c r="X19" s="13">
        <f>_xlfn.XLOOKUP("Ja",'Tabellen Terugleverkosten'!C:C,'Tabellen Terugleverkosten'!P:P,0)</f>
        <v>196.8</v>
      </c>
      <c r="Y19" s="15">
        <v>0</v>
      </c>
      <c r="Z19" s="3"/>
      <c r="AA19" s="3"/>
      <c r="AC19" s="3"/>
      <c r="AD19" s="3"/>
      <c r="AE19" s="3"/>
      <c r="AF19" s="3"/>
      <c r="AG19" s="3"/>
    </row>
    <row r="20" spans="2:33" x14ac:dyDescent="0.25">
      <c r="B20" s="58" t="s">
        <v>95</v>
      </c>
      <c r="C20" s="59">
        <v>45567</v>
      </c>
      <c r="D20" s="12">
        <f>$D$48+$D$49+$D$50+G20+X20+$C$38*Y20+$C$37*H20+$C$38*K20+IF($C$37&gt;$C$38,($C$37-$C$38)*N20,($C$38-$C$37)*Q20)+T20+U20+$C$37*V20+$C$38*W20+F20</f>
        <v>785.55799999999999</v>
      </c>
      <c r="E20" s="12">
        <f>D20/12</f>
        <v>65.463166666666666</v>
      </c>
      <c r="F20" s="68"/>
      <c r="G20" s="13">
        <f>8.49*12</f>
        <v>101.88</v>
      </c>
      <c r="H20" s="15">
        <v>0</v>
      </c>
      <c r="I20" s="15">
        <v>0</v>
      </c>
      <c r="J20" s="15">
        <v>0</v>
      </c>
      <c r="K20" s="16">
        <v>0</v>
      </c>
      <c r="L20" s="16">
        <v>0</v>
      </c>
      <c r="M20" s="16">
        <v>0</v>
      </c>
      <c r="N20" s="15">
        <f>O20*$G$37/($G$37+$H$37)+P20*$H$37/($G$37+$H$37)-$D$52</f>
        <v>0.12509500000000001</v>
      </c>
      <c r="O20" s="15">
        <v>0.27329999999999999</v>
      </c>
      <c r="P20" s="15">
        <v>0.2432</v>
      </c>
      <c r="Q20" s="16">
        <f>R20*$G$38/($G$38+$H$38)+S20*$H$38/($G$38+$H$38)</f>
        <v>-0.14499999999999999</v>
      </c>
      <c r="R20" s="16">
        <v>-0.14499999999999999</v>
      </c>
      <c r="S20" s="16">
        <v>-0.14499999999999999</v>
      </c>
      <c r="T20" s="13">
        <v>0</v>
      </c>
      <c r="U20" s="14">
        <v>0</v>
      </c>
      <c r="V20" s="15">
        <v>0</v>
      </c>
      <c r="W20" s="16">
        <v>0</v>
      </c>
      <c r="X20" s="13">
        <v>0</v>
      </c>
      <c r="Y20" s="15">
        <v>0.115</v>
      </c>
      <c r="Z20" s="3"/>
      <c r="AA20" s="3"/>
      <c r="AC20" s="3"/>
      <c r="AD20" s="3"/>
      <c r="AE20" s="3"/>
      <c r="AF20" s="3"/>
      <c r="AG20" s="3"/>
    </row>
    <row r="21" spans="2:33" x14ac:dyDescent="0.25">
      <c r="B21" s="60" t="s">
        <v>78</v>
      </c>
      <c r="C21" s="59">
        <v>45566</v>
      </c>
      <c r="D21" s="12">
        <f>$D$48+$D$49+$D$50+G21+X21+$C$38*Y21+$C$37*H21+$C$38*K21+IF($C$37&gt;$C$38,($C$37-$C$38)*N21,($C$38-$C$37)*Q21)+T21+U21+$C$37*V21+$C$38*W21+F21</f>
        <v>786.04759999999987</v>
      </c>
      <c r="E21" s="12">
        <f>D21/12</f>
        <v>65.503966666666656</v>
      </c>
      <c r="F21" s="68"/>
      <c r="G21" s="13">
        <v>116.16</v>
      </c>
      <c r="H21" s="15">
        <f>I21*$G$37/($G$37+$H$37)+J21*$H$37/($G$37+$H$37)-$D$52</f>
        <v>0.23434899999999997</v>
      </c>
      <c r="I21" s="15">
        <f>0.24866+$D$52</f>
        <v>0.38030999999999998</v>
      </c>
      <c r="J21" s="15">
        <f>0.22264+$D$52</f>
        <v>0.35428999999999999</v>
      </c>
      <c r="K21" s="16">
        <f>L21*$G$37/($G$37+$H$37)+M21*$H$37/($G$37+$H$37)+$D$52</f>
        <v>-0.23434899999999997</v>
      </c>
      <c r="L21" s="16">
        <f>-0.24866-$D$52</f>
        <v>-0.38030999999999998</v>
      </c>
      <c r="M21" s="16">
        <f>-0.22264-$D$52</f>
        <v>-0.35428999999999999</v>
      </c>
      <c r="N21" s="15">
        <v>0</v>
      </c>
      <c r="O21" s="15">
        <v>0</v>
      </c>
      <c r="P21" s="15">
        <v>0</v>
      </c>
      <c r="Q21" s="16">
        <v>0</v>
      </c>
      <c r="R21" s="16">
        <v>0</v>
      </c>
      <c r="S21" s="16">
        <v>0</v>
      </c>
      <c r="T21" s="13">
        <v>0</v>
      </c>
      <c r="U21" s="14">
        <v>0</v>
      </c>
      <c r="V21" s="15">
        <v>0</v>
      </c>
      <c r="W21" s="16">
        <v>0</v>
      </c>
      <c r="X21" s="13">
        <v>0</v>
      </c>
      <c r="Y21" s="15">
        <v>0</v>
      </c>
      <c r="Z21" s="3"/>
      <c r="AA21" s="3"/>
      <c r="AC21" s="3"/>
      <c r="AD21" s="3"/>
      <c r="AE21" s="3"/>
      <c r="AF21" s="3"/>
      <c r="AG21" s="3"/>
    </row>
    <row r="22" spans="2:33" x14ac:dyDescent="0.25">
      <c r="B22" s="47" t="s">
        <v>104</v>
      </c>
      <c r="C22" s="59">
        <v>45571</v>
      </c>
      <c r="D22" s="12">
        <f>$D$48+$D$49+$D$50+G22+X22+$C$38*Y22+$C$37*H22+$C$38*K22+IF($C$37&gt;$C$38,($C$37-$C$38)*N22,($C$38-$C$37)*Q22)+T22+U22+$C$37*V22+$C$38*W22+F22</f>
        <v>798.69800000000009</v>
      </c>
      <c r="E22" s="12">
        <f>D22/12</f>
        <v>66.558166666666679</v>
      </c>
      <c r="F22" s="68"/>
      <c r="G22" s="13">
        <f>6.67*12</f>
        <v>80.039999999999992</v>
      </c>
      <c r="H22" s="15">
        <v>0</v>
      </c>
      <c r="I22" s="15">
        <v>0</v>
      </c>
      <c r="J22" s="15">
        <v>0</v>
      </c>
      <c r="K22" s="16">
        <v>0</v>
      </c>
      <c r="L22" s="16">
        <v>0</v>
      </c>
      <c r="M22" s="16">
        <v>0</v>
      </c>
      <c r="N22" s="15">
        <f>O22*$G$37/($G$37+$H$37)+P22*$H$37/($G$37+$H$37)-$D$52</f>
        <v>0.13967000000000002</v>
      </c>
      <c r="O22" s="15">
        <f>0.28771</f>
        <v>0.28771000000000002</v>
      </c>
      <c r="P22" s="15">
        <f>0.25791</f>
        <v>0.25790999999999997</v>
      </c>
      <c r="Q22" s="16">
        <f>R22*$G$38/($G$38+$H$38)+S22*$H$38/($G$38+$H$38)</f>
        <v>-0.125</v>
      </c>
      <c r="R22" s="16">
        <v>-0.125</v>
      </c>
      <c r="S22" s="16">
        <v>-0.125</v>
      </c>
      <c r="T22" s="13">
        <v>0</v>
      </c>
      <c r="U22" s="14">
        <v>0</v>
      </c>
      <c r="V22" s="15">
        <v>0</v>
      </c>
      <c r="W22" s="16">
        <v>0</v>
      </c>
      <c r="X22" s="13">
        <v>0</v>
      </c>
      <c r="Y22" s="15">
        <f>0.115</f>
        <v>0.115</v>
      </c>
      <c r="Z22" s="3"/>
      <c r="AA22" s="3"/>
      <c r="AC22" s="3"/>
      <c r="AD22" s="3"/>
      <c r="AE22" s="3"/>
      <c r="AF22" s="3"/>
      <c r="AG22" s="3"/>
    </row>
    <row r="23" spans="2:33" x14ac:dyDescent="0.25">
      <c r="B23" s="58" t="s">
        <v>96</v>
      </c>
      <c r="C23" s="59">
        <v>45567</v>
      </c>
      <c r="D23" s="12">
        <f>$D$48+$D$49+$D$50+G23+X23+$C$38*Y23+$C$37*H23+$C$38*K23+IF($C$37&gt;$C$38,($C$37-$C$38)*N23,($C$38-$C$37)*Q23)+T23+U23+$C$37*V23+$C$38*W23+F23</f>
        <v>799.01479999999992</v>
      </c>
      <c r="E23" s="12">
        <f>D23/12</f>
        <v>66.58456666666666</v>
      </c>
      <c r="F23" s="68"/>
      <c r="G23" s="13">
        <f>8.99*12</f>
        <v>107.88</v>
      </c>
      <c r="H23" s="15">
        <v>0</v>
      </c>
      <c r="I23" s="15">
        <v>0</v>
      </c>
      <c r="J23" s="15">
        <v>0</v>
      </c>
      <c r="K23" s="16">
        <v>0</v>
      </c>
      <c r="L23" s="16">
        <v>0</v>
      </c>
      <c r="M23" s="16">
        <v>0</v>
      </c>
      <c r="N23" s="15">
        <f>O23*$G$37/($G$37+$H$37)+P23*$H$37/($G$37+$H$37)-$D$52</f>
        <v>0.12820199999999998</v>
      </c>
      <c r="O23" s="15">
        <f>0.14578+$D$52</f>
        <v>0.27742999999999995</v>
      </c>
      <c r="P23" s="15">
        <f>0.11382+$D$52</f>
        <v>0.24546999999999999</v>
      </c>
      <c r="Q23" s="16">
        <f>R23*$G$38/($G$38+$H$38)+S23*$H$38/($G$38+$H$38)</f>
        <v>-0.14499999999999999</v>
      </c>
      <c r="R23" s="16">
        <v>-0.14499999999999999</v>
      </c>
      <c r="S23" s="16">
        <v>-0.14499999999999999</v>
      </c>
      <c r="T23" s="13">
        <v>0</v>
      </c>
      <c r="U23" s="14">
        <v>0</v>
      </c>
      <c r="V23" s="15">
        <v>0</v>
      </c>
      <c r="W23" s="16">
        <v>0</v>
      </c>
      <c r="X23" s="13">
        <v>0</v>
      </c>
      <c r="Y23" s="15">
        <v>0.115</v>
      </c>
      <c r="Z23" s="3"/>
      <c r="AA23" s="3"/>
      <c r="AC23" s="3"/>
      <c r="AD23" s="3"/>
      <c r="AE23" s="3"/>
      <c r="AF23" s="3"/>
      <c r="AG23" s="3"/>
    </row>
    <row r="24" spans="2:33" x14ac:dyDescent="0.25">
      <c r="B24" s="60" t="s">
        <v>99</v>
      </c>
      <c r="C24" s="59">
        <v>45569</v>
      </c>
      <c r="D24" s="12">
        <f>$D$48+$D$49+$D$50+G24+X24+$C$38*Y24+$C$37*H24+$C$38*K24+IF($C$37&gt;$C$38,($C$37-$C$38)*N24,($C$38-$C$37)*Q24)+T24+U24+$C$37*V24+$C$38*W24+F24</f>
        <v>800.45640000000003</v>
      </c>
      <c r="E24" s="12">
        <f>D24/12</f>
        <v>66.704700000000003</v>
      </c>
      <c r="F24" s="68"/>
      <c r="G24" s="13">
        <v>95.59</v>
      </c>
      <c r="H24" s="15">
        <v>0</v>
      </c>
      <c r="I24" s="15">
        <v>0</v>
      </c>
      <c r="J24" s="15">
        <v>0</v>
      </c>
      <c r="K24" s="16">
        <v>0</v>
      </c>
      <c r="L24" s="16">
        <v>0</v>
      </c>
      <c r="M24" s="16">
        <v>0</v>
      </c>
      <c r="N24" s="15">
        <f>O24*$G$37/($G$37+$H$37)+P24*$H$37/($G$37+$H$37)-$D$52</f>
        <v>0.136461</v>
      </c>
      <c r="O24" s="15">
        <v>0.27557999999999999</v>
      </c>
      <c r="P24" s="15">
        <f>0.262</f>
        <v>0.26200000000000001</v>
      </c>
      <c r="Q24" s="16">
        <f>R24*$G$38/($G$38+$H$38)+S24*$H$38/($G$38+$H$38)</f>
        <v>-6.0499999999999991E-2</v>
      </c>
      <c r="R24" s="16">
        <v>-6.0499999999999998E-2</v>
      </c>
      <c r="S24" s="16">
        <v>-6.0499999999999998E-2</v>
      </c>
      <c r="T24" s="13">
        <v>0</v>
      </c>
      <c r="U24" s="14">
        <v>0</v>
      </c>
      <c r="V24" s="15">
        <v>0</v>
      </c>
      <c r="W24" s="16">
        <v>0</v>
      </c>
      <c r="X24" s="13">
        <f>_xlfn.XLOOKUP("Ja",'Tabellen Terugleverkosten'!C:C,'Tabellen Terugleverkosten'!K:K,0)</f>
        <v>269.91000000000003</v>
      </c>
      <c r="Y24" s="15">
        <v>0</v>
      </c>
      <c r="Z24" s="3"/>
      <c r="AA24" s="3"/>
      <c r="AC24" s="3"/>
      <c r="AD24" s="3"/>
      <c r="AE24" s="3"/>
      <c r="AF24" s="3"/>
      <c r="AG24" s="3"/>
    </row>
    <row r="25" spans="2:33" x14ac:dyDescent="0.25">
      <c r="B25" s="58" t="s">
        <v>100</v>
      </c>
      <c r="C25" s="59">
        <v>45569</v>
      </c>
      <c r="D25" s="12">
        <f>$D$48+$D$49+$D$50+G25+X25+$C$38*Y25+$C$37*H25+$C$38*K25+IF($C$37&gt;$C$38,($C$37-$C$38)*N25,($C$38-$C$37)*Q25)+T25+U25+$C$37*V25+$C$38*W25+F25</f>
        <v>800.45640000000003</v>
      </c>
      <c r="E25" s="12">
        <f>D25/12</f>
        <v>66.704700000000003</v>
      </c>
      <c r="F25" s="68"/>
      <c r="G25" s="13">
        <v>95.59</v>
      </c>
      <c r="H25" s="15">
        <v>0</v>
      </c>
      <c r="I25" s="15">
        <v>0</v>
      </c>
      <c r="J25" s="15">
        <v>0</v>
      </c>
      <c r="K25" s="16">
        <v>0</v>
      </c>
      <c r="L25" s="16">
        <v>0</v>
      </c>
      <c r="M25" s="16">
        <v>0</v>
      </c>
      <c r="N25" s="15">
        <f>O25*$G$37/($G$37+$H$37)+P25*$H$37/($G$37+$H$37)-$D$52</f>
        <v>0.136461</v>
      </c>
      <c r="O25" s="15">
        <f>0.27558</f>
        <v>0.27557999999999999</v>
      </c>
      <c r="P25" s="15">
        <v>0.26200000000000001</v>
      </c>
      <c r="Q25" s="16">
        <f>R25*$G$38/($G$38+$H$38)+S25*$H$38/($G$38+$H$38)</f>
        <v>-0.05</v>
      </c>
      <c r="R25" s="16">
        <v>-0.05</v>
      </c>
      <c r="S25" s="16">
        <v>-0.05</v>
      </c>
      <c r="T25" s="13">
        <v>0</v>
      </c>
      <c r="U25" s="14">
        <v>0</v>
      </c>
      <c r="V25" s="15">
        <v>0</v>
      </c>
      <c r="W25" s="16">
        <v>0</v>
      </c>
      <c r="X25" s="13">
        <f>_xlfn.XLOOKUP("Ja",'Tabellen Terugleverkosten'!C:C,'Tabellen Terugleverkosten'!H:H,0)</f>
        <v>269.91000000000003</v>
      </c>
      <c r="Y25" s="15">
        <v>0</v>
      </c>
      <c r="Z25" s="3"/>
      <c r="AA25" s="3"/>
      <c r="AC25" s="3"/>
      <c r="AD25" s="3"/>
      <c r="AE25" s="3"/>
      <c r="AF25" s="3"/>
      <c r="AG25" s="3"/>
    </row>
    <row r="26" spans="2:33" x14ac:dyDescent="0.25">
      <c r="B26" s="58" t="s">
        <v>98</v>
      </c>
      <c r="C26" s="59">
        <v>45567</v>
      </c>
      <c r="D26" s="12">
        <f>$D$48+$D$49+$D$50+G26+X26+$C$38*Y26+$C$37*H26+$C$38*K26+IF($C$37&gt;$C$38,($C$37-$C$38)*N26,($C$38-$C$37)*Q26)+T26+U26+$C$37*V26+$C$38*W26+F26</f>
        <v>816.98599999999999</v>
      </c>
      <c r="E26" s="12">
        <f>D26/12</f>
        <v>68.082166666666666</v>
      </c>
      <c r="F26" s="68"/>
      <c r="G26" s="13">
        <f>8.99*12</f>
        <v>107.88</v>
      </c>
      <c r="H26" s="15">
        <v>0</v>
      </c>
      <c r="I26" s="15">
        <v>0</v>
      </c>
      <c r="J26" s="15">
        <v>0</v>
      </c>
      <c r="K26" s="16">
        <v>0</v>
      </c>
      <c r="L26" s="16">
        <v>0</v>
      </c>
      <c r="M26" s="16">
        <v>0</v>
      </c>
      <c r="N26" s="15">
        <f>O26*$G$37/($G$37+$H$37)+P26*$H$37/($G$37+$H$37)-$D$52</f>
        <v>0.15004000000000001</v>
      </c>
      <c r="O26" s="15">
        <v>0.28169</v>
      </c>
      <c r="P26" s="15">
        <v>0.28169</v>
      </c>
      <c r="Q26" s="16">
        <f>R26*$G$38/($G$38+$H$38)+S26*$H$38/($G$38+$H$38)</f>
        <v>-4.4999999999999998E-2</v>
      </c>
      <c r="R26" s="16">
        <v>-4.4999999999999998E-2</v>
      </c>
      <c r="S26" s="16">
        <v>-4.4999999999999998E-2</v>
      </c>
      <c r="T26" s="13">
        <v>0</v>
      </c>
      <c r="U26" s="14">
        <v>0</v>
      </c>
      <c r="V26" s="15">
        <v>0</v>
      </c>
      <c r="W26" s="16">
        <v>0</v>
      </c>
      <c r="X26" s="13">
        <f>_xlfn.XLOOKUP("Ja",'Tabellen Terugleverkosten'!C:C,'Tabellen Terugleverkosten'!D:D,0)</f>
        <v>241.56</v>
      </c>
      <c r="Y26" s="15">
        <v>0</v>
      </c>
      <c r="Z26" s="3"/>
      <c r="AA26" s="3"/>
      <c r="AC26" s="3"/>
      <c r="AD26" s="3"/>
      <c r="AE26" s="3"/>
      <c r="AF26" s="3"/>
      <c r="AG26" s="3"/>
    </row>
    <row r="27" spans="2:33" x14ac:dyDescent="0.25">
      <c r="B27" s="58" t="s">
        <v>97</v>
      </c>
      <c r="C27" s="59">
        <v>45567</v>
      </c>
      <c r="D27" s="12">
        <f>$D$48+$D$49+$D$50+G27+X27+$C$38*Y27+$C$37*H27+$C$38*K27+IF($C$37&gt;$C$38,($C$37-$C$38)*N27,($C$38-$C$37)*Q27)+T27+U27+$C$37*V27+$C$38*W27+F27</f>
        <v>820.68360000000007</v>
      </c>
      <c r="E27" s="12">
        <f>D27/12</f>
        <v>68.390300000000011</v>
      </c>
      <c r="F27" s="68"/>
      <c r="G27" s="13">
        <f>7.99*12</f>
        <v>95.88</v>
      </c>
      <c r="H27" s="15">
        <v>0</v>
      </c>
      <c r="I27" s="15">
        <v>0</v>
      </c>
      <c r="J27" s="15">
        <v>0</v>
      </c>
      <c r="K27" s="16">
        <v>0</v>
      </c>
      <c r="L27" s="16">
        <v>0</v>
      </c>
      <c r="M27" s="16">
        <v>0</v>
      </c>
      <c r="N27" s="15">
        <f>O27*$G$37/($G$37+$H$37)+P27*$H$37/($G$37+$H$37)-$D$52</f>
        <v>0.15681400000000001</v>
      </c>
      <c r="O27" s="15">
        <v>0.288464</v>
      </c>
      <c r="P27" s="15">
        <v>0.288464</v>
      </c>
      <c r="Q27" s="16">
        <f>R27*$G$38/($G$38+$H$38)+S27*$H$38/($G$38+$H$38)</f>
        <v>-0.123</v>
      </c>
      <c r="R27" s="16">
        <v>-0.123</v>
      </c>
      <c r="S27" s="16">
        <v>-0.123</v>
      </c>
      <c r="T27" s="13">
        <v>0</v>
      </c>
      <c r="U27" s="14">
        <v>0</v>
      </c>
      <c r="V27" s="15">
        <v>0</v>
      </c>
      <c r="W27" s="16">
        <v>0</v>
      </c>
      <c r="X27" s="13">
        <f>_xlfn.XLOOKUP("Ja",'Tabellen Terugleverkosten'!C:C,'Tabellen Terugleverkosten'!G:G,0)</f>
        <v>241</v>
      </c>
      <c r="Y27" s="15">
        <v>0</v>
      </c>
      <c r="Z27" s="3"/>
      <c r="AA27" s="3"/>
      <c r="AC27" s="3"/>
      <c r="AD27" s="3"/>
      <c r="AE27" s="3"/>
      <c r="AF27" s="3"/>
      <c r="AG27" s="3"/>
    </row>
    <row r="28" spans="2:33" x14ac:dyDescent="0.25">
      <c r="B28" s="58" t="s">
        <v>89</v>
      </c>
      <c r="C28" s="59">
        <v>45567</v>
      </c>
      <c r="D28" s="12">
        <f>$D$48+$D$49+$D$50+G28+X28+$C$38*Y28+$C$37*H28+$C$38*K28+IF($C$37&gt;$C$38,($C$37-$C$38)*N28,($C$38-$C$37)*Q28)+T28+U28+$C$37*V28+$C$38*W28+F28</f>
        <v>826.13400000000001</v>
      </c>
      <c r="E28" s="12">
        <f>D28/12</f>
        <v>68.844499999999996</v>
      </c>
      <c r="F28" s="68"/>
      <c r="G28" s="13">
        <f>8.52*12</f>
        <v>102.24</v>
      </c>
      <c r="H28" s="15">
        <v>0</v>
      </c>
      <c r="I28" s="15">
        <v>0</v>
      </c>
      <c r="J28" s="15">
        <v>0</v>
      </c>
      <c r="K28" s="16">
        <v>0</v>
      </c>
      <c r="L28" s="16">
        <v>0</v>
      </c>
      <c r="M28" s="16">
        <v>0</v>
      </c>
      <c r="N28" s="15">
        <f>O28*$G$37/($G$37+$H$37)+P28*$H$37/($G$37+$H$37)-$D$52</f>
        <v>0.17655999999999999</v>
      </c>
      <c r="O28" s="15">
        <v>0.31833</v>
      </c>
      <c r="P28" s="15">
        <v>0.29992999999999997</v>
      </c>
      <c r="Q28" s="16">
        <f>R28*$G$38/($G$38+$H$38)+S28*$H$38/($G$38+$H$38)</f>
        <v>-0.09</v>
      </c>
      <c r="R28" s="16">
        <v>-0.09</v>
      </c>
      <c r="S28" s="16">
        <v>-0.09</v>
      </c>
      <c r="T28" s="13">
        <v>0</v>
      </c>
      <c r="U28" s="14">
        <v>0</v>
      </c>
      <c r="V28" s="15">
        <v>0</v>
      </c>
      <c r="W28" s="16">
        <v>0</v>
      </c>
      <c r="X28" s="13">
        <f>_xlfn.XLOOKUP("Ja",'Tabellen Terugleverkosten'!C:C,'Tabellen Terugleverkosten'!S:S,0)</f>
        <v>192.7</v>
      </c>
      <c r="Y28" s="15">
        <v>0</v>
      </c>
      <c r="Z28" s="3"/>
      <c r="AA28" s="3"/>
      <c r="AC28" s="3"/>
      <c r="AD28" s="3"/>
      <c r="AE28" s="3"/>
      <c r="AF28" s="3"/>
      <c r="AG28" s="3"/>
    </row>
    <row r="29" spans="2:33" x14ac:dyDescent="0.25">
      <c r="B29" s="47" t="s">
        <v>101</v>
      </c>
      <c r="C29" s="59">
        <v>45571</v>
      </c>
      <c r="D29" s="12">
        <f>$D$48+$D$49+$D$50+G29+X29+$C$38*Y29+$C$37*H29+$C$38*K29+IF($C$37&gt;$C$38,($C$37-$C$38)*N29,($C$38-$C$37)*Q29)+T29+U29+$C$37*V29+$C$38*W29+F29</f>
        <v>843.50360000000001</v>
      </c>
      <c r="E29" s="12">
        <f>D29/12</f>
        <v>70.291966666666667</v>
      </c>
      <c r="F29" s="68"/>
      <c r="G29" s="13">
        <f>9.98*12</f>
        <v>119.76</v>
      </c>
      <c r="H29" s="15">
        <v>0</v>
      </c>
      <c r="I29" s="15">
        <v>0</v>
      </c>
      <c r="J29" s="15">
        <v>0</v>
      </c>
      <c r="K29" s="16">
        <v>0</v>
      </c>
      <c r="L29" s="16">
        <v>0</v>
      </c>
      <c r="M29" s="16">
        <v>0</v>
      </c>
      <c r="N29" s="15">
        <f>O29*$G$37/($G$37+$H$37)+P29*$H$37/($G$37+$H$37)-$D$52</f>
        <v>0.128139</v>
      </c>
      <c r="O29" s="15">
        <v>0.26112000000000002</v>
      </c>
      <c r="P29" s="15">
        <v>0.25869999999999999</v>
      </c>
      <c r="Q29" s="16">
        <f>R29*$G$38/($G$38+$H$38)+S29*$H$38/($G$38+$H$38)</f>
        <v>-0.05</v>
      </c>
      <c r="R29" s="16">
        <v>-0.05</v>
      </c>
      <c r="S29" s="16">
        <v>-0.05</v>
      </c>
      <c r="T29" s="13">
        <v>0</v>
      </c>
      <c r="U29" s="14">
        <v>0</v>
      </c>
      <c r="V29" s="15">
        <v>0</v>
      </c>
      <c r="W29" s="16">
        <v>0</v>
      </c>
      <c r="X29" s="13">
        <f>_xlfn.XLOOKUP("Ja",'Tabellen Terugleverkosten'!C:C,'Tabellen Terugleverkosten'!E:E,0)</f>
        <v>308.76</v>
      </c>
      <c r="Y29" s="15">
        <v>0</v>
      </c>
      <c r="Z29" s="3"/>
      <c r="AA29" s="3"/>
      <c r="AC29" s="3"/>
      <c r="AD29" s="3"/>
      <c r="AE29" s="3"/>
      <c r="AF29" s="3"/>
      <c r="AG29" s="3"/>
    </row>
    <row r="30" spans="2:33" x14ac:dyDescent="0.25">
      <c r="B30" s="60" t="s">
        <v>103</v>
      </c>
      <c r="C30" s="59">
        <v>45569</v>
      </c>
      <c r="D30" s="12">
        <f>$D$48+$D$49+$D$50+G30+X30+$C$38*Y30+$C$37*H30+$C$38*K30+IF($C$37&gt;$C$38,($C$37-$C$38)*N30,($C$38-$C$37)*Q30)+T30+U30+$C$37*V30+$C$38*W30+F30</f>
        <v>884.99</v>
      </c>
      <c r="E30" s="12">
        <f>D30/12</f>
        <v>73.749166666666667</v>
      </c>
      <c r="F30" s="68"/>
      <c r="G30" s="13">
        <f>6.5*12</f>
        <v>78</v>
      </c>
      <c r="H30" s="15">
        <v>0</v>
      </c>
      <c r="I30" s="15">
        <v>0</v>
      </c>
      <c r="J30" s="15">
        <v>0</v>
      </c>
      <c r="K30" s="16">
        <v>0</v>
      </c>
      <c r="L30" s="16">
        <v>0</v>
      </c>
      <c r="M30" s="16">
        <v>0</v>
      </c>
      <c r="N30" s="15">
        <f>O30*$G$37/($G$37+$H$37)+P30*$H$37/($G$37+$H$37)-$D$52</f>
        <v>0.186475</v>
      </c>
      <c r="O30" s="15">
        <v>0.3327</v>
      </c>
      <c r="P30" s="15">
        <v>0.30620000000000003</v>
      </c>
      <c r="Q30" s="16">
        <f>R30*$G$38/($G$38+$H$38)+S30*$H$38/($G$38+$H$38)</f>
        <v>-0.05</v>
      </c>
      <c r="R30" s="16">
        <v>-0.05</v>
      </c>
      <c r="S30" s="16">
        <v>-0.05</v>
      </c>
      <c r="T30" s="13">
        <v>0</v>
      </c>
      <c r="U30" s="14">
        <v>0</v>
      </c>
      <c r="V30" s="15">
        <v>0</v>
      </c>
      <c r="W30" s="16">
        <v>0</v>
      </c>
      <c r="X30" s="13">
        <f>_xlfn.XLOOKUP("Ja",'Tabellen Terugleverkosten'!C:C,'Tabellen Terugleverkosten'!J:J,0)</f>
        <v>252</v>
      </c>
      <c r="Y30" s="15">
        <v>0</v>
      </c>
      <c r="Z30" s="3"/>
      <c r="AA30" s="3"/>
      <c r="AC30" s="3"/>
      <c r="AD30" s="3"/>
      <c r="AE30" s="3"/>
      <c r="AF30" s="3"/>
      <c r="AG30" s="3"/>
    </row>
    <row r="31" spans="2:33" x14ac:dyDescent="0.25">
      <c r="B31" s="58" t="s">
        <v>105</v>
      </c>
      <c r="C31" s="59">
        <v>45571</v>
      </c>
      <c r="D31" s="12">
        <f>$D$48+$D$49+$D$50+G31+X31+$C$38*Y31+$C$37*H31+$C$38*K31+IF($C$37&gt;$C$38,($C$37-$C$38)*N31,($C$38-$C$37)*Q31)+T31+U31+$C$37*V31+$C$38*W31+F31</f>
        <v>906.7041200000001</v>
      </c>
      <c r="E31" s="12">
        <f>D31/12</f>
        <v>75.55867666666667</v>
      </c>
      <c r="F31" s="68"/>
      <c r="G31" s="13">
        <f>0.36022*366</f>
        <v>131.84052</v>
      </c>
      <c r="H31" s="15">
        <v>0</v>
      </c>
      <c r="I31" s="15">
        <v>0</v>
      </c>
      <c r="J31" s="15">
        <v>0</v>
      </c>
      <c r="K31" s="16">
        <v>0</v>
      </c>
      <c r="L31" s="16">
        <v>0</v>
      </c>
      <c r="M31" s="16">
        <v>0</v>
      </c>
      <c r="N31" s="15">
        <f>O31*$G$37/($G$37+$H$37)+P31*$H$37/($G$37+$H$37)-$D$52</f>
        <v>0.14943900000000004</v>
      </c>
      <c r="O31" s="15">
        <v>0.28242</v>
      </c>
      <c r="P31" s="15">
        <v>0.28000000000000003</v>
      </c>
      <c r="Q31" s="16">
        <f>R31*$G$38/($G$38+$H$38)+S31*$H$38/($G$38+$H$38)</f>
        <v>-5.5E-2</v>
      </c>
      <c r="R31" s="16">
        <v>-5.5E-2</v>
      </c>
      <c r="S31" s="16">
        <v>-5.5E-2</v>
      </c>
      <c r="T31" s="13">
        <v>0</v>
      </c>
      <c r="U31" s="14">
        <v>0</v>
      </c>
      <c r="V31" s="15">
        <v>0</v>
      </c>
      <c r="W31" s="16">
        <v>0</v>
      </c>
      <c r="X31" s="13">
        <f>_xlfn.XLOOKUP("Ja",'Tabellen Terugleverkosten'!C:C,'Tabellen Terugleverkosten'!F:F,0)</f>
        <v>308.76</v>
      </c>
      <c r="Y31" s="15">
        <v>0</v>
      </c>
      <c r="Z31" s="3"/>
      <c r="AA31" s="3"/>
      <c r="AC31" s="3"/>
      <c r="AD31" s="3"/>
      <c r="AE31" s="3"/>
      <c r="AF31" s="3"/>
      <c r="AG31" s="3"/>
    </row>
    <row r="32" spans="2:33" x14ac:dyDescent="0.25">
      <c r="B32" s="58" t="s">
        <v>107</v>
      </c>
      <c r="C32" s="59">
        <v>45561</v>
      </c>
      <c r="D32" s="12">
        <f>$D$48+$D$49+$D$50+G32+X32+$C$38*Y32+$C$37*H32+$C$38*K32+IF($C$37&gt;$C$38,($C$37-$C$38)*N32,($C$38-$C$37)*Q32)+T32+U32+$C$37*V32+$C$38*W32+F32</f>
        <v>916.2367999999999</v>
      </c>
      <c r="E32" s="12">
        <f>D32/12</f>
        <v>76.353066666666663</v>
      </c>
      <c r="F32" s="68"/>
      <c r="G32" s="13">
        <f>34.99*12</f>
        <v>419.88</v>
      </c>
      <c r="H32" s="15">
        <v>0</v>
      </c>
      <c r="I32" s="15">
        <v>0</v>
      </c>
      <c r="J32" s="15">
        <v>0</v>
      </c>
      <c r="K32" s="16">
        <v>0</v>
      </c>
      <c r="L32" s="16">
        <v>0</v>
      </c>
      <c r="M32" s="16">
        <v>0</v>
      </c>
      <c r="N32" s="15">
        <f>O32*$G$37/($G$37+$H$37)+P32*$H$37/($G$37+$H$37)-$D$52</f>
        <v>0.16204449999999998</v>
      </c>
      <c r="O32" s="15">
        <v>0.31845000000000001</v>
      </c>
      <c r="P32" s="15">
        <v>0.27344000000000002</v>
      </c>
      <c r="Q32" s="16">
        <f>R32*$G$38/($G$38+$H$38)+S32*$H$38/($G$38+$H$38)</f>
        <v>-5.5E-2</v>
      </c>
      <c r="R32" s="16">
        <v>-5.5E-2</v>
      </c>
      <c r="S32" s="16">
        <v>-5.5E-2</v>
      </c>
      <c r="T32" s="13">
        <v>0</v>
      </c>
      <c r="U32" s="14">
        <v>0</v>
      </c>
      <c r="V32" s="15">
        <v>0</v>
      </c>
      <c r="W32" s="16">
        <v>0</v>
      </c>
      <c r="X32" s="15">
        <v>0</v>
      </c>
      <c r="Y32" s="15">
        <v>0</v>
      </c>
      <c r="Z32" s="3"/>
      <c r="AA32" s="3"/>
      <c r="AC32" s="3"/>
      <c r="AD32" s="3"/>
      <c r="AE32" s="3"/>
      <c r="AF32" s="3"/>
      <c r="AG32" s="3"/>
    </row>
    <row r="33" spans="2:33" x14ac:dyDescent="0.25">
      <c r="B33" s="61" t="s">
        <v>106</v>
      </c>
      <c r="C33" s="62">
        <v>45569</v>
      </c>
      <c r="D33" s="12">
        <f>$D$48+$D$49+$D$50+G33+X33+$C$38*Y33+$C$37*H33+$C$38*K33+IF($C$37&gt;$C$38,($C$37-$C$38)*N33,($C$38-$C$37)*Q33)+T33+U33+$C$37*V33+$C$38*W33+F33</f>
        <v>970.68398000000002</v>
      </c>
      <c r="E33" s="12">
        <f>D33/12</f>
        <v>80.890331666666668</v>
      </c>
      <c r="F33" s="68"/>
      <c r="G33" s="13">
        <f>0.48013*366</f>
        <v>175.72757999999999</v>
      </c>
      <c r="H33" s="15">
        <v>0</v>
      </c>
      <c r="I33" s="15">
        <v>0</v>
      </c>
      <c r="J33" s="15">
        <v>0</v>
      </c>
      <c r="K33" s="16">
        <v>0</v>
      </c>
      <c r="L33" s="16">
        <v>0</v>
      </c>
      <c r="M33" s="16">
        <v>0</v>
      </c>
      <c r="N33" s="15">
        <f>O33*$G$37/($G$37+$H$37)+P33*$H$37/($G$37+$H$37)-$D$52</f>
        <v>0.13131100000000001</v>
      </c>
      <c r="O33" s="15">
        <f>0.14879+$D$52</f>
        <v>0.28044000000000002</v>
      </c>
      <c r="P33" s="15">
        <f>0.11701+$D$52</f>
        <v>0.24865999999999999</v>
      </c>
      <c r="Q33" s="16">
        <f>R33*$G$38/($G$38+$H$38)+S33*$H$38/($G$38+$H$38)</f>
        <v>-0.05</v>
      </c>
      <c r="R33" s="16">
        <v>-0.05</v>
      </c>
      <c r="S33" s="16">
        <v>-0.05</v>
      </c>
      <c r="T33" s="13">
        <v>0</v>
      </c>
      <c r="U33" s="14">
        <v>0</v>
      </c>
      <c r="V33" s="15">
        <v>0</v>
      </c>
      <c r="W33" s="16">
        <v>0</v>
      </c>
      <c r="X33" s="13">
        <f>_xlfn.XLOOKUP("Ja",'Tabellen Terugleverkosten'!C:C,'Tabellen Terugleverkosten'!O:O,0)</f>
        <v>372.36</v>
      </c>
      <c r="Y33" s="15"/>
      <c r="Z33" s="3"/>
      <c r="AA33" s="3"/>
      <c r="AC33" s="3"/>
      <c r="AD33" s="3"/>
      <c r="AE33" s="3"/>
      <c r="AF33" s="3"/>
      <c r="AG33" s="3"/>
    </row>
    <row r="34" spans="2:33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24"/>
      <c r="O34" s="24"/>
      <c r="P34" s="24"/>
      <c r="Q34" s="24"/>
      <c r="R34" s="24"/>
      <c r="S34" s="24"/>
      <c r="T34" s="24"/>
      <c r="U34" s="23"/>
      <c r="AC34" s="3"/>
      <c r="AD34" s="3"/>
      <c r="AE34" s="3"/>
      <c r="AF34" s="3"/>
      <c r="AG34" s="3"/>
    </row>
    <row r="35" spans="2:33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24"/>
      <c r="O35" s="24"/>
      <c r="P35" s="24"/>
      <c r="Q35" s="24"/>
      <c r="R35" s="24"/>
      <c r="S35" s="24"/>
      <c r="T35" s="24"/>
      <c r="U35" s="23"/>
      <c r="AC35" s="3"/>
      <c r="AD35" s="3"/>
      <c r="AE35" s="3"/>
      <c r="AF35" s="3"/>
      <c r="AG35" s="3"/>
    </row>
    <row r="36" spans="2:33" x14ac:dyDescent="0.25">
      <c r="B36" s="43" t="s">
        <v>59</v>
      </c>
      <c r="C36" s="76" t="s">
        <v>73</v>
      </c>
      <c r="D36" s="76"/>
      <c r="E36" s="76"/>
      <c r="F36" s="44" t="s">
        <v>57</v>
      </c>
      <c r="G36" s="45" t="s">
        <v>37</v>
      </c>
      <c r="H36" s="46" t="s">
        <v>38</v>
      </c>
      <c r="I36" s="24"/>
      <c r="J36" s="79" t="s">
        <v>52</v>
      </c>
      <c r="K36" s="80"/>
      <c r="L36" s="69" t="s">
        <v>53</v>
      </c>
      <c r="M36" s="69"/>
      <c r="N36" s="69"/>
      <c r="O36" s="70"/>
      <c r="T36" s="21"/>
      <c r="U36" s="22"/>
      <c r="V36" s="23"/>
      <c r="AC36" s="3"/>
      <c r="AD36" s="3"/>
    </row>
    <row r="37" spans="2:33" x14ac:dyDescent="0.25">
      <c r="B37" s="47" t="s">
        <v>40</v>
      </c>
      <c r="C37" s="75">
        <v>4800</v>
      </c>
      <c r="D37" s="75"/>
      <c r="E37" s="75"/>
      <c r="F37" s="48">
        <v>0.45</v>
      </c>
      <c r="G37" s="49">
        <f>C37*F37</f>
        <v>2160</v>
      </c>
      <c r="H37" s="50">
        <f>C37*(1-F37)</f>
        <v>2640</v>
      </c>
      <c r="I37" s="36"/>
      <c r="J37" s="27" t="s">
        <v>0</v>
      </c>
      <c r="K37" s="28" t="s">
        <v>39</v>
      </c>
      <c r="L37" s="29" t="s">
        <v>1</v>
      </c>
      <c r="M37" s="28" t="s">
        <v>110</v>
      </c>
      <c r="N37" s="29" t="s">
        <v>24</v>
      </c>
      <c r="O37" s="28" t="s">
        <v>111</v>
      </c>
      <c r="U37" s="3"/>
      <c r="V37" s="3"/>
      <c r="W37" s="3"/>
      <c r="X37" s="3"/>
      <c r="Y37" s="3"/>
      <c r="AA37" s="3"/>
      <c r="AC37" s="3"/>
      <c r="AG37" s="3"/>
    </row>
    <row r="38" spans="2:33" x14ac:dyDescent="0.25">
      <c r="B38" s="47" t="s">
        <v>41</v>
      </c>
      <c r="C38" s="75">
        <v>2400</v>
      </c>
      <c r="D38" s="75"/>
      <c r="E38" s="75"/>
      <c r="F38" s="48">
        <v>0.67</v>
      </c>
      <c r="G38" s="49">
        <f>C38*F38</f>
        <v>1608</v>
      </c>
      <c r="H38" s="50">
        <f>C38*(1-F38)</f>
        <v>791.99999999999989</v>
      </c>
      <c r="I38" s="36"/>
      <c r="J38" s="30">
        <v>0.10074713985524164</v>
      </c>
      <c r="K38" s="31">
        <v>2.2211732620040388E-2</v>
      </c>
      <c r="L38" s="41">
        <v>0.100067</v>
      </c>
      <c r="M38" s="65">
        <v>-7.586699999999999E-2</v>
      </c>
      <c r="N38" s="37">
        <f t="shared" ref="N38:N49" si="0">C$37*J38*L38</f>
        <v>48.391027410693432</v>
      </c>
      <c r="O38" s="38">
        <f t="shared" ref="O38:O49" si="1">C$38*K38*M38</f>
        <v>-4.0443300448430497</v>
      </c>
      <c r="U38" s="3"/>
      <c r="V38" s="84"/>
      <c r="W38" s="3"/>
      <c r="X38" s="25"/>
      <c r="Y38" s="3"/>
      <c r="AA38" s="3"/>
      <c r="AC38" s="3"/>
      <c r="AG38" s="3"/>
    </row>
    <row r="39" spans="2:33" x14ac:dyDescent="0.25">
      <c r="B39" s="51" t="s">
        <v>42</v>
      </c>
      <c r="C39" s="77" t="s">
        <v>77</v>
      </c>
      <c r="D39" s="77"/>
      <c r="E39" s="77"/>
      <c r="F39" s="77"/>
      <c r="G39" s="77"/>
      <c r="H39" s="78"/>
      <c r="J39" s="30">
        <v>9.2575297688536062E-2</v>
      </c>
      <c r="K39" s="31">
        <v>2.6224005454593132E-2</v>
      </c>
      <c r="L39" s="41">
        <v>7.8892000000000004E-2</v>
      </c>
      <c r="M39" s="65">
        <v>-7.5261999999999996E-2</v>
      </c>
      <c r="N39" s="37">
        <f t="shared" si="0"/>
        <v>35.056561849171139</v>
      </c>
      <c r="O39" s="38">
        <f t="shared" si="1"/>
        <v>-4.7368106364566112</v>
      </c>
      <c r="U39" s="3"/>
      <c r="V39" s="3"/>
      <c r="W39" s="3"/>
      <c r="X39" s="3"/>
      <c r="Y39" s="3"/>
      <c r="AA39" s="3"/>
      <c r="AC39" s="3"/>
      <c r="AG39" s="3"/>
    </row>
    <row r="40" spans="2:33" x14ac:dyDescent="0.25">
      <c r="F40" s="34"/>
      <c r="J40" s="30">
        <v>8.8956339014709312E-2</v>
      </c>
      <c r="K40" s="31">
        <v>7.7885296200141618E-2</v>
      </c>
      <c r="L40" s="41">
        <v>8.2401000000000002E-2</v>
      </c>
      <c r="M40" s="65">
        <v>-5.1788000000000001E-2</v>
      </c>
      <c r="N40" s="37">
        <f t="shared" si="0"/>
        <v>35.184438197525097</v>
      </c>
      <c r="O40" s="38">
        <f t="shared" si="1"/>
        <v>-9.6804569270710417</v>
      </c>
      <c r="U40" s="3"/>
      <c r="V40" s="3"/>
      <c r="W40" s="3"/>
      <c r="X40" s="3"/>
      <c r="Y40" s="3"/>
      <c r="AA40" s="3"/>
      <c r="AC40" s="3"/>
      <c r="AG40" s="3"/>
    </row>
    <row r="41" spans="2:33" x14ac:dyDescent="0.25">
      <c r="B41" s="71" t="str">
        <f>"Kosten per jaar bij "&amp;C39</f>
        <v>Kosten per jaar bij Vandebron 1 JR (NL Essent)</v>
      </c>
      <c r="C41" s="72"/>
      <c r="D41" s="44" t="s">
        <v>56</v>
      </c>
      <c r="E41" s="52" t="s">
        <v>55</v>
      </c>
      <c r="J41" s="30">
        <v>8.3352790100396895E-2</v>
      </c>
      <c r="K41" s="31">
        <v>0.10437154170928067</v>
      </c>
      <c r="L41" s="41">
        <v>8.1795999999999994E-2</v>
      </c>
      <c r="M41" s="65">
        <v>-3.0370999999999992E-2</v>
      </c>
      <c r="N41" s="37">
        <f t="shared" si="0"/>
        <v>32.726039131449909</v>
      </c>
      <c r="O41" s="38">
        <f t="shared" si="1"/>
        <v>-7.6076834238061499</v>
      </c>
      <c r="U41" s="3"/>
      <c r="V41" s="3"/>
      <c r="W41" s="3"/>
      <c r="X41" s="3"/>
      <c r="Y41" s="3"/>
      <c r="AA41" s="3"/>
      <c r="AC41" s="3"/>
      <c r="AG41" s="3"/>
    </row>
    <row r="42" spans="2:33" x14ac:dyDescent="0.25">
      <c r="B42" s="73" t="s">
        <v>47</v>
      </c>
      <c r="C42" s="74"/>
      <c r="D42" s="53">
        <f>_xlfn.XLOOKUP($C$39,$B:$B,$F:$F,0)</f>
        <v>0</v>
      </c>
      <c r="E42" s="54">
        <f>D42/12</f>
        <v>0</v>
      </c>
      <c r="F42" s="26"/>
      <c r="J42" s="30">
        <v>7.553116974083586E-2</v>
      </c>
      <c r="K42" s="31">
        <v>0.1290221068365982</v>
      </c>
      <c r="L42" s="41">
        <v>9.8130999999999982E-2</v>
      </c>
      <c r="M42" s="65">
        <v>-2.6982999999999997E-2</v>
      </c>
      <c r="N42" s="37">
        <f t="shared" si="0"/>
        <v>35.577356245622219</v>
      </c>
      <c r="O42" s="38">
        <f t="shared" si="1"/>
        <v>-8.3553684210526296</v>
      </c>
      <c r="U42" s="3"/>
      <c r="V42" s="3"/>
      <c r="W42" s="3"/>
      <c r="X42" s="3"/>
      <c r="Y42" s="3"/>
      <c r="AA42" s="3"/>
      <c r="AC42" s="3"/>
      <c r="AG42" s="3"/>
    </row>
    <row r="43" spans="2:33" x14ac:dyDescent="0.25">
      <c r="B43" s="73" t="s">
        <v>32</v>
      </c>
      <c r="C43" s="74"/>
      <c r="D43" s="53">
        <f>_xlfn.XLOOKUP($C$39,$B:$B,$G:$G,0)</f>
        <v>0</v>
      </c>
      <c r="E43" s="54">
        <f>D43/12</f>
        <v>0</v>
      </c>
      <c r="F43" s="26"/>
      <c r="J43" s="30">
        <v>6.6658883959841222E-2</v>
      </c>
      <c r="K43" s="31">
        <v>0.18776387905488684</v>
      </c>
      <c r="L43" s="41">
        <v>9.6195000000000003E-2</v>
      </c>
      <c r="M43" s="65">
        <v>-3.4484999999999988E-2</v>
      </c>
      <c r="N43" s="37">
        <f t="shared" si="0"/>
        <v>30.778806444081248</v>
      </c>
      <c r="O43" s="38">
        <f t="shared" si="1"/>
        <v>-15.540089686098648</v>
      </c>
      <c r="U43" s="3"/>
      <c r="V43" s="3"/>
      <c r="W43" s="3"/>
      <c r="X43" s="3"/>
      <c r="Y43" s="3"/>
      <c r="AA43" s="3"/>
      <c r="AC43" s="3"/>
      <c r="AG43" s="3"/>
    </row>
    <row r="44" spans="2:33" x14ac:dyDescent="0.25">
      <c r="B44" s="73" t="s">
        <v>34</v>
      </c>
      <c r="C44" s="74"/>
      <c r="D44" s="53">
        <f>_xlfn.XLOOKUP($C$39,$B:$B,$H:$H,0)*$C$37+IF($C$37&gt;$C$38,($C$37-$C$38)*_xlfn.XLOOKUP($C$39,$B:$B,$N:$N,0),0)+_xlfn.XLOOKUP($C$39,$B:$B,$T:$T,0)</f>
        <v>0</v>
      </c>
      <c r="E44" s="54">
        <f>D44/12</f>
        <v>0</v>
      </c>
      <c r="F44" s="26"/>
      <c r="J44" s="30">
        <v>6.6191921550315197E-2</v>
      </c>
      <c r="K44" s="31">
        <v>0.13479138803660873</v>
      </c>
      <c r="L44" s="41">
        <v>9.1476000000000002E-2</v>
      </c>
      <c r="M44" s="65">
        <v>-2.9402999999999995E-2</v>
      </c>
      <c r="N44" s="37">
        <f t="shared" si="0"/>
        <v>29.063866635535842</v>
      </c>
      <c r="O44" s="38">
        <f t="shared" si="1"/>
        <v>-9.5118508378569739</v>
      </c>
      <c r="U44" s="3"/>
      <c r="V44" s="3"/>
      <c r="W44" s="3"/>
      <c r="X44" s="3"/>
      <c r="Y44" s="3"/>
      <c r="AA44" s="3"/>
      <c r="AC44" s="3"/>
      <c r="AG44" s="3"/>
    </row>
    <row r="45" spans="2:33" x14ac:dyDescent="0.25">
      <c r="B45" s="73" t="s">
        <v>35</v>
      </c>
      <c r="C45" s="74"/>
      <c r="D45" s="53">
        <f>_xlfn.XLOOKUP($C$39,$B:$B,$K:$K,0)*$C$38+IF($C$37&gt;$C$38,0,($C$38-$C$37)*_xlfn.XLOOKUP($C$39,$B:$B,$Q:$Q,0))+_xlfn.XLOOKUP($C$39,$B:$B,$U:$U,0)</f>
        <v>0</v>
      </c>
      <c r="E45" s="54">
        <f t="shared" ref="E45:E50" si="2">D45/12</f>
        <v>0</v>
      </c>
      <c r="F45" s="26"/>
      <c r="J45" s="30">
        <v>7.2262432874153626E-2</v>
      </c>
      <c r="K45" s="31">
        <v>0.12587522618204702</v>
      </c>
      <c r="L45" s="41">
        <v>0.11749099999999998</v>
      </c>
      <c r="M45" s="65">
        <v>-4.2470999999999988E-2</v>
      </c>
      <c r="N45" s="37">
        <f t="shared" si="0"/>
        <v>40.752890403922471</v>
      </c>
      <c r="O45" s="38">
        <f t="shared" si="1"/>
        <v>-12.830512154826522</v>
      </c>
      <c r="U45" s="3"/>
      <c r="V45" s="3"/>
      <c r="W45" s="3"/>
      <c r="X45" s="3"/>
      <c r="Y45" s="3"/>
      <c r="AA45" s="3"/>
      <c r="AC45" s="3"/>
      <c r="AG45" s="3"/>
    </row>
    <row r="46" spans="2:33" x14ac:dyDescent="0.25">
      <c r="B46" s="73" t="s">
        <v>33</v>
      </c>
      <c r="C46" s="74"/>
      <c r="D46" s="53">
        <f>_xlfn.XLOOKUP($C$39,$B:$B,$X:$X,0)+_xlfn.XLOOKUP($C$39,$B:$B,$Y:$Y,0)*C38</f>
        <v>0</v>
      </c>
      <c r="E46" s="54">
        <f t="shared" si="2"/>
        <v>0</v>
      </c>
      <c r="F46" s="26"/>
      <c r="J46" s="30">
        <v>7.0511323838431006E-2</v>
      </c>
      <c r="K46" s="31">
        <v>0.11118978312747488</v>
      </c>
      <c r="L46" s="41">
        <v>7.4594999999999995E-2</v>
      </c>
      <c r="M46" s="65">
        <v>-2.0933E-2</v>
      </c>
      <c r="N46" s="37">
        <f t="shared" si="0"/>
        <v>25.247002568293251</v>
      </c>
      <c r="O46" s="38">
        <f t="shared" si="1"/>
        <v>-5.5860857524978353</v>
      </c>
      <c r="U46" s="3"/>
      <c r="V46" s="3"/>
      <c r="W46" s="3"/>
      <c r="X46" s="3"/>
      <c r="Y46" s="3"/>
      <c r="AA46" s="3"/>
      <c r="AC46" s="3"/>
      <c r="AG46" s="3"/>
    </row>
    <row r="47" spans="2:33" x14ac:dyDescent="0.25">
      <c r="B47" s="73" t="s">
        <v>36</v>
      </c>
      <c r="C47" s="74"/>
      <c r="D47" s="53">
        <f>_xlfn.XLOOKUP($C$39,$B:$B,$V:$V,0)*$C$37+_xlfn.XLOOKUP($C$39,$B:$B,$W:$W,0)*$C$38</f>
        <v>0</v>
      </c>
      <c r="E47" s="54">
        <f t="shared" si="2"/>
        <v>0</v>
      </c>
      <c r="F47" s="26"/>
      <c r="J47" s="30">
        <v>8.0084053233714661E-2</v>
      </c>
      <c r="K47" s="31">
        <v>4.7989929981905433E-2</v>
      </c>
      <c r="L47" s="41">
        <v>9.7918499999999992E-2</v>
      </c>
      <c r="M47" s="65">
        <v>-4.5193499999999998E-2</v>
      </c>
      <c r="N47" s="37">
        <f t="shared" si="0"/>
        <v>37.640209759514342</v>
      </c>
      <c r="O47" s="38">
        <f t="shared" si="1"/>
        <v>-5.2051989615293834</v>
      </c>
      <c r="U47" s="3"/>
      <c r="V47" s="3"/>
      <c r="W47" s="3"/>
      <c r="X47" s="3"/>
      <c r="Y47" s="3"/>
      <c r="AA47" s="3"/>
      <c r="AC47" s="3"/>
      <c r="AG47" s="3"/>
    </row>
    <row r="48" spans="2:33" x14ac:dyDescent="0.25">
      <c r="B48" s="73" t="s">
        <v>31</v>
      </c>
      <c r="C48" s="74"/>
      <c r="D48" s="53">
        <f>IF($C$37&lt;$C$38,0,($C$37-$C$38)*$D$52)</f>
        <v>315.95999999999998</v>
      </c>
      <c r="E48" s="54">
        <f t="shared" si="2"/>
        <v>26.33</v>
      </c>
      <c r="F48" s="26"/>
      <c r="J48" s="30">
        <v>9.6077515759981302E-2</v>
      </c>
      <c r="K48" s="31">
        <v>2.150368447276637E-2</v>
      </c>
      <c r="L48" s="41">
        <v>0.11036675</v>
      </c>
      <c r="M48" s="65">
        <v>-7.1843750000000012E-2</v>
      </c>
      <c r="N48" s="37">
        <f t="shared" si="0"/>
        <v>50.898063180013999</v>
      </c>
      <c r="O48" s="38">
        <f t="shared" si="1"/>
        <v>-3.7077727952167421</v>
      </c>
      <c r="U48" s="3"/>
      <c r="V48" s="3"/>
      <c r="W48" s="3"/>
      <c r="X48" s="3"/>
      <c r="Y48" s="3"/>
      <c r="AA48" s="3"/>
      <c r="AC48" s="3"/>
      <c r="AG48" s="3"/>
    </row>
    <row r="49" spans="2:33" x14ac:dyDescent="0.25">
      <c r="B49" s="73" t="s">
        <v>16</v>
      </c>
      <c r="C49" s="74"/>
      <c r="D49" s="53">
        <v>-631.39</v>
      </c>
      <c r="E49" s="54">
        <f t="shared" si="2"/>
        <v>-52.615833333333335</v>
      </c>
      <c r="F49" s="26"/>
      <c r="J49" s="32">
        <v>0.10705113238384309</v>
      </c>
      <c r="K49" s="33">
        <v>1.1171426323656676E-2</v>
      </c>
      <c r="L49" s="42">
        <v>0.10328087499999999</v>
      </c>
      <c r="M49" s="66">
        <v>-8.4200875000000008E-2</v>
      </c>
      <c r="N49" s="39">
        <f t="shared" si="0"/>
        <v>53.070406187251919</v>
      </c>
      <c r="O49" s="40">
        <f t="shared" si="1"/>
        <v>-2.2575452914798211</v>
      </c>
      <c r="U49" s="3"/>
      <c r="V49" s="3"/>
      <c r="W49" s="3"/>
      <c r="X49" s="3"/>
      <c r="Y49" s="3"/>
      <c r="AA49" s="3"/>
      <c r="AC49" s="3"/>
      <c r="AG49" s="3"/>
    </row>
    <row r="50" spans="2:33" ht="15" x14ac:dyDescent="0.4">
      <c r="B50" s="73" t="s">
        <v>15</v>
      </c>
      <c r="C50" s="74"/>
      <c r="D50" s="63">
        <v>422.88</v>
      </c>
      <c r="E50" s="64">
        <f t="shared" si="2"/>
        <v>35.24</v>
      </c>
      <c r="F50" s="26"/>
      <c r="U50" s="3"/>
      <c r="V50" s="3"/>
      <c r="W50" s="3"/>
      <c r="X50" s="3"/>
      <c r="Y50" s="3"/>
      <c r="AA50" s="3"/>
      <c r="AC50" s="3"/>
      <c r="AG50" s="3"/>
    </row>
    <row r="51" spans="2:33" x14ac:dyDescent="0.25">
      <c r="B51" s="81" t="s">
        <v>45</v>
      </c>
      <c r="C51" s="82"/>
      <c r="D51" s="55">
        <f>SUM(D42:D50)</f>
        <v>107.44999999999999</v>
      </c>
      <c r="E51" s="56">
        <f>D51/12</f>
        <v>8.9541666666666657</v>
      </c>
      <c r="U51" s="3"/>
      <c r="V51" s="3"/>
      <c r="W51" s="3"/>
      <c r="X51" s="3"/>
      <c r="Y51" s="3"/>
    </row>
    <row r="52" spans="2:33" x14ac:dyDescent="0.25">
      <c r="B52" s="83" t="s">
        <v>31</v>
      </c>
      <c r="C52" s="83"/>
      <c r="D52" s="35">
        <v>0.13164999999999999</v>
      </c>
      <c r="E52" s="9" t="s">
        <v>63</v>
      </c>
      <c r="U52" s="3"/>
      <c r="V52" s="3"/>
      <c r="W52" s="3"/>
      <c r="X52" s="3"/>
      <c r="Y52" s="3"/>
      <c r="AE52" s="3"/>
      <c r="AF52" s="3"/>
      <c r="AG52" s="3"/>
    </row>
    <row r="53" spans="2:33" x14ac:dyDescent="0.25">
      <c r="U53" s="3"/>
      <c r="V53" s="3"/>
      <c r="W53" s="3"/>
      <c r="X53" s="3"/>
      <c r="Y53" s="3"/>
      <c r="AE53" s="3"/>
      <c r="AF53" s="3"/>
      <c r="AG53" s="3"/>
    </row>
    <row r="54" spans="2:33" x14ac:dyDescent="0.25">
      <c r="U54" s="3"/>
      <c r="V54" s="3"/>
      <c r="W54" s="3"/>
      <c r="X54" s="3"/>
      <c r="Y54" s="3"/>
      <c r="AE54" s="3"/>
      <c r="AF54" s="3"/>
      <c r="AG54" s="3"/>
    </row>
    <row r="55" spans="2:33" x14ac:dyDescent="0.25">
      <c r="U55" s="3"/>
      <c r="V55" s="3"/>
      <c r="W55" s="3"/>
      <c r="X55" s="3"/>
      <c r="Y55" s="3"/>
      <c r="AE55" s="3"/>
      <c r="AF55" s="3"/>
      <c r="AG55" s="3"/>
    </row>
    <row r="56" spans="2:33" x14ac:dyDescent="0.25">
      <c r="AE56" s="3"/>
      <c r="AF56" s="3"/>
      <c r="AG56" s="3"/>
    </row>
    <row r="57" spans="2:33" x14ac:dyDescent="0.25">
      <c r="AE57" s="3"/>
      <c r="AF57" s="3"/>
      <c r="AG57" s="3"/>
    </row>
    <row r="58" spans="2:33" x14ac:dyDescent="0.25">
      <c r="AE58" s="3"/>
      <c r="AF58" s="3"/>
      <c r="AG58" s="3"/>
    </row>
    <row r="59" spans="2:33" x14ac:dyDescent="0.25">
      <c r="AE59" s="3"/>
      <c r="AF59" s="3"/>
      <c r="AG59" s="3"/>
    </row>
    <row r="60" spans="2:33" x14ac:dyDescent="0.25">
      <c r="AE60" s="3"/>
      <c r="AF60" s="3"/>
      <c r="AG60" s="3"/>
    </row>
    <row r="61" spans="2:33" x14ac:dyDescent="0.25">
      <c r="AE61" s="3"/>
      <c r="AF61" s="3"/>
      <c r="AG61" s="3"/>
    </row>
    <row r="62" spans="2:33" x14ac:dyDescent="0.25">
      <c r="AE62" s="3"/>
      <c r="AF62" s="3"/>
      <c r="AG62" s="3"/>
    </row>
    <row r="63" spans="2:33" x14ac:dyDescent="0.25">
      <c r="AE63" s="3"/>
      <c r="AF63" s="3"/>
      <c r="AG63" s="3"/>
    </row>
    <row r="64" spans="2:33" x14ac:dyDescent="0.25">
      <c r="AE64" s="3"/>
      <c r="AF64" s="3"/>
      <c r="AG64" s="3"/>
    </row>
    <row r="65" spans="5:16" x14ac:dyDescent="0.25">
      <c r="M65" s="24"/>
      <c r="N65" s="24"/>
      <c r="O65" s="24"/>
      <c r="P65" s="24"/>
    </row>
    <row r="66" spans="5:16" x14ac:dyDescent="0.25">
      <c r="E66" s="24"/>
      <c r="F66" s="24"/>
    </row>
  </sheetData>
  <sortState xmlns:xlrd2="http://schemas.microsoft.com/office/spreadsheetml/2017/richdata2" ref="B3:AG33">
    <sortCondition ref="D3:D33"/>
  </sortState>
  <mergeCells count="18">
    <mergeCell ref="B45:C45"/>
    <mergeCell ref="B51:C51"/>
    <mergeCell ref="B52:C52"/>
    <mergeCell ref="B46:C46"/>
    <mergeCell ref="B47:C47"/>
    <mergeCell ref="B48:C48"/>
    <mergeCell ref="B49:C49"/>
    <mergeCell ref="B50:C50"/>
    <mergeCell ref="L36:O36"/>
    <mergeCell ref="B41:C41"/>
    <mergeCell ref="B42:C42"/>
    <mergeCell ref="B43:C43"/>
    <mergeCell ref="B44:C44"/>
    <mergeCell ref="C37:E37"/>
    <mergeCell ref="C38:E38"/>
    <mergeCell ref="C36:E36"/>
    <mergeCell ref="C39:H39"/>
    <mergeCell ref="J36:K36"/>
  </mergeCells>
  <conditionalFormatting sqref="D3:D3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33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disablePrompts="1" count="1">
    <dataValidation type="list" allowBlank="1" showInputMessage="1" showErrorMessage="1" sqref="C39" xr:uid="{C4621466-AD2D-448E-979E-3665ECF080C4}">
      <formula1>$B$3:$B$33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A2E3-BBD5-4327-A8C7-1D4689750C43}">
  <dimension ref="A1:A39"/>
  <sheetViews>
    <sheetView topLeftCell="A37" zoomScale="80" zoomScaleNormal="80" workbookViewId="0">
      <selection activeCell="G45" sqref="G45"/>
    </sheetView>
  </sheetViews>
  <sheetFormatPr defaultRowHeight="13.2" x14ac:dyDescent="0.25"/>
  <cols>
    <col min="1" max="16384" width="8.88671875" style="3"/>
  </cols>
  <sheetData>
    <row r="1" spans="1:1" x14ac:dyDescent="0.25">
      <c r="A1" s="9" t="s">
        <v>58</v>
      </c>
    </row>
    <row r="2" spans="1:1" x14ac:dyDescent="0.25">
      <c r="A2" s="3" t="s">
        <v>54</v>
      </c>
    </row>
    <row r="3" spans="1:1" x14ac:dyDescent="0.25">
      <c r="A3" s="9" t="s">
        <v>61</v>
      </c>
    </row>
    <row r="9" spans="1:1" x14ac:dyDescent="0.25">
      <c r="A9" s="9" t="s">
        <v>60</v>
      </c>
    </row>
    <row r="22" spans="1:1" x14ac:dyDescent="0.25">
      <c r="A22" s="9" t="s">
        <v>62</v>
      </c>
    </row>
    <row r="23" spans="1:1" x14ac:dyDescent="0.25">
      <c r="A23" s="9" t="s">
        <v>75</v>
      </c>
    </row>
    <row r="39" spans="1:1" x14ac:dyDescent="0.25">
      <c r="A39" s="3" t="s">
        <v>74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9560-3967-4C06-A741-AD1FD4C6389D}">
  <dimension ref="A1:W115"/>
  <sheetViews>
    <sheetView zoomScale="80" zoomScaleNormal="80" workbookViewId="0">
      <pane xSplit="2" ySplit="2" topLeftCell="J84" activePane="bottomRight" state="frozen"/>
      <selection pane="topRight" activeCell="C1" sqref="C1"/>
      <selection pane="bottomLeft" activeCell="A3" sqref="A3"/>
      <selection pane="bottomRight" activeCell="J49" sqref="J49:J115"/>
    </sheetView>
  </sheetViews>
  <sheetFormatPr defaultRowHeight="13.2" x14ac:dyDescent="0.25"/>
  <cols>
    <col min="1" max="1" width="5.88671875" style="1" bestFit="1" customWidth="1"/>
    <col min="2" max="2" width="7" style="1" bestFit="1" customWidth="1"/>
    <col min="3" max="3" width="8.6640625" style="1" bestFit="1" customWidth="1"/>
    <col min="4" max="7" width="11.44140625" style="1" customWidth="1"/>
    <col min="8" max="21" width="11.44140625" customWidth="1"/>
    <col min="22" max="22" width="38.6640625" bestFit="1" customWidth="1"/>
    <col min="23" max="23" width="11.5546875" bestFit="1" customWidth="1"/>
  </cols>
  <sheetData>
    <row r="1" spans="1:23" ht="27" customHeight="1" x14ac:dyDescent="0.25">
      <c r="A1" s="18" t="s">
        <v>2</v>
      </c>
      <c r="B1" s="18" t="s">
        <v>46</v>
      </c>
      <c r="C1" s="18" t="s">
        <v>11</v>
      </c>
      <c r="D1" s="18" t="s">
        <v>28</v>
      </c>
      <c r="E1" s="18" t="s">
        <v>21</v>
      </c>
      <c r="F1" s="18" t="s">
        <v>22</v>
      </c>
      <c r="G1" s="18" t="s">
        <v>23</v>
      </c>
      <c r="H1" s="18" t="s">
        <v>5</v>
      </c>
      <c r="I1" s="18" t="s">
        <v>3</v>
      </c>
      <c r="J1" s="18" t="s">
        <v>9</v>
      </c>
      <c r="K1" s="19" t="s">
        <v>25</v>
      </c>
      <c r="L1" s="19" t="s">
        <v>30</v>
      </c>
      <c r="M1" s="19" t="s">
        <v>27</v>
      </c>
      <c r="N1" s="19" t="s">
        <v>26</v>
      </c>
      <c r="O1" s="19" t="s">
        <v>8</v>
      </c>
      <c r="P1" s="19" t="s">
        <v>7</v>
      </c>
      <c r="Q1" s="19" t="s">
        <v>29</v>
      </c>
      <c r="R1" s="19" t="s">
        <v>6</v>
      </c>
      <c r="S1" s="19" t="s">
        <v>20</v>
      </c>
      <c r="T1" s="19" t="s">
        <v>76</v>
      </c>
      <c r="U1" s="19" t="s">
        <v>108</v>
      </c>
    </row>
    <row r="2" spans="1:23" x14ac:dyDescent="0.25">
      <c r="A2" s="10"/>
      <c r="B2" s="10"/>
      <c r="C2" s="10"/>
      <c r="D2" s="6" t="s">
        <v>10</v>
      </c>
      <c r="E2" s="6" t="s">
        <v>10</v>
      </c>
      <c r="F2" s="6" t="s">
        <v>10</v>
      </c>
      <c r="G2" s="6" t="s">
        <v>10</v>
      </c>
      <c r="H2" s="6" t="s">
        <v>10</v>
      </c>
      <c r="I2" s="6" t="s">
        <v>10</v>
      </c>
      <c r="J2" s="6" t="s">
        <v>10</v>
      </c>
      <c r="K2" s="6" t="s">
        <v>10</v>
      </c>
      <c r="L2" s="6" t="s">
        <v>10</v>
      </c>
      <c r="M2" s="6" t="s">
        <v>10</v>
      </c>
      <c r="N2" s="6" t="s">
        <v>10</v>
      </c>
      <c r="O2" s="6" t="s">
        <v>10</v>
      </c>
      <c r="P2" s="6" t="s">
        <v>10</v>
      </c>
      <c r="Q2" s="6" t="s">
        <v>10</v>
      </c>
      <c r="R2" s="6" t="s">
        <v>10</v>
      </c>
      <c r="S2" s="6" t="s">
        <v>10</v>
      </c>
      <c r="T2" s="6" t="s">
        <v>10</v>
      </c>
      <c r="U2" s="6" t="s">
        <v>10</v>
      </c>
    </row>
    <row r="3" spans="1:23" x14ac:dyDescent="0.25">
      <c r="A3" s="10">
        <v>0</v>
      </c>
      <c r="B3" s="10">
        <v>5</v>
      </c>
      <c r="C3" s="10" t="str">
        <f>IF(AND('Tarieven en Berekening'!$C$38&gt;=A3,'Tarieven en Berekening'!$C$38&lt;B3),"Ja","Nee")</f>
        <v>Nee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20"/>
    </row>
    <row r="4" spans="1:23" x14ac:dyDescent="0.25">
      <c r="A4" s="10">
        <v>5</v>
      </c>
      <c r="B4" s="10">
        <v>50</v>
      </c>
      <c r="C4" s="10" t="str">
        <f>IF(AND('Tarieven en Berekening'!$C$38&gt;=A4,'Tarieven en Berekening'!$C$38&lt;B4),"Ja","Nee")</f>
        <v>Nee</v>
      </c>
      <c r="D4" s="11">
        <f>3.05*12</f>
        <v>36.599999999999994</v>
      </c>
      <c r="E4" s="11">
        <v>0</v>
      </c>
      <c r="F4" s="11">
        <v>0</v>
      </c>
      <c r="G4" s="11">
        <v>0</v>
      </c>
      <c r="H4" s="11">
        <v>40.15</v>
      </c>
      <c r="I4" s="11">
        <f>1.25*12</f>
        <v>15</v>
      </c>
      <c r="J4" s="11">
        <v>0</v>
      </c>
      <c r="K4" s="11">
        <v>40.147799999999997</v>
      </c>
      <c r="L4" s="11">
        <v>30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20.64</v>
      </c>
      <c r="S4" s="11">
        <v>0</v>
      </c>
      <c r="T4" s="11">
        <v>0</v>
      </c>
      <c r="U4" s="11">
        <v>0</v>
      </c>
      <c r="V4" s="20"/>
      <c r="W4" s="2"/>
    </row>
    <row r="5" spans="1:23" x14ac:dyDescent="0.25">
      <c r="A5" s="10">
        <v>50</v>
      </c>
      <c r="B5" s="10">
        <v>100</v>
      </c>
      <c r="C5" s="10" t="str">
        <f>IF(AND('Tarieven en Berekening'!$C$38&gt;=A5,'Tarieven en Berekening'!$C$38&lt;B5),"Ja","Nee")</f>
        <v>Nee</v>
      </c>
      <c r="D5" s="11">
        <f t="shared" ref="D5:D16" si="0">3.05*12</f>
        <v>36.599999999999994</v>
      </c>
      <c r="E5" s="11">
        <v>0</v>
      </c>
      <c r="F5" s="11">
        <v>0</v>
      </c>
      <c r="G5" s="11">
        <v>0</v>
      </c>
      <c r="H5" s="11">
        <v>40.15</v>
      </c>
      <c r="I5" s="11">
        <f>1.25*12</f>
        <v>15</v>
      </c>
      <c r="J5" s="11">
        <v>0</v>
      </c>
      <c r="K5" s="11">
        <v>40.147799999999997</v>
      </c>
      <c r="L5" s="11">
        <v>30</v>
      </c>
      <c r="M5" s="11">
        <v>0</v>
      </c>
      <c r="N5" s="11">
        <v>0</v>
      </c>
      <c r="O5" s="11">
        <v>144.60000000000002</v>
      </c>
      <c r="P5" s="11">
        <v>0</v>
      </c>
      <c r="Q5" s="11">
        <v>0</v>
      </c>
      <c r="R5" s="11">
        <v>20.64</v>
      </c>
      <c r="S5" s="11">
        <v>0</v>
      </c>
      <c r="T5" s="11">
        <v>0</v>
      </c>
      <c r="U5" s="11">
        <v>0</v>
      </c>
      <c r="V5" s="20"/>
      <c r="W5" s="2"/>
    </row>
    <row r="6" spans="1:23" x14ac:dyDescent="0.25">
      <c r="A6" s="10">
        <v>100</v>
      </c>
      <c r="B6" s="10">
        <v>200</v>
      </c>
      <c r="C6" s="10" t="str">
        <f>IF(AND('Tarieven en Berekening'!$C$38&gt;=A6,'Tarieven en Berekening'!$C$38&lt;B6),"Ja","Nee")</f>
        <v>Nee</v>
      </c>
      <c r="D6" s="11">
        <f t="shared" si="0"/>
        <v>36.599999999999994</v>
      </c>
      <c r="E6" s="11">
        <v>0</v>
      </c>
      <c r="F6" s="11">
        <v>0</v>
      </c>
      <c r="G6" s="11">
        <v>0</v>
      </c>
      <c r="H6" s="11">
        <v>40.15</v>
      </c>
      <c r="I6" s="11">
        <f>1.25*12</f>
        <v>15</v>
      </c>
      <c r="J6" s="11">
        <v>48</v>
      </c>
      <c r="K6" s="11">
        <v>40.147799999999997</v>
      </c>
      <c r="L6" s="11">
        <v>30</v>
      </c>
      <c r="M6" s="11">
        <v>0</v>
      </c>
      <c r="N6" s="11">
        <v>0</v>
      </c>
      <c r="O6" s="11">
        <v>144.60000000000002</v>
      </c>
      <c r="P6" s="11">
        <v>0</v>
      </c>
      <c r="Q6" s="11">
        <v>0</v>
      </c>
      <c r="R6" s="11">
        <v>20.64</v>
      </c>
      <c r="S6" s="11">
        <v>11.6</v>
      </c>
      <c r="T6" s="11">
        <v>0</v>
      </c>
      <c r="U6" s="11">
        <v>0</v>
      </c>
      <c r="V6" s="20"/>
      <c r="W6" s="2"/>
    </row>
    <row r="7" spans="1:23" x14ac:dyDescent="0.25">
      <c r="A7" s="10">
        <v>200</v>
      </c>
      <c r="B7" s="10">
        <v>250</v>
      </c>
      <c r="C7" s="10" t="str">
        <f>IF(AND('Tarieven en Berekening'!$C$38&gt;=A7,'Tarieven en Berekening'!$C$38&lt;B7),"Ja","Nee")</f>
        <v>Nee</v>
      </c>
      <c r="D7" s="11">
        <f t="shared" si="0"/>
        <v>36.599999999999994</v>
      </c>
      <c r="E7" s="11">
        <v>0</v>
      </c>
      <c r="F7" s="11">
        <v>0</v>
      </c>
      <c r="G7" s="11">
        <v>0</v>
      </c>
      <c r="H7" s="11">
        <v>40.15</v>
      </c>
      <c r="I7" s="11">
        <f>1.25*12</f>
        <v>15</v>
      </c>
      <c r="J7" s="11">
        <v>48</v>
      </c>
      <c r="K7" s="11">
        <v>40.147799999999997</v>
      </c>
      <c r="L7" s="11">
        <v>30</v>
      </c>
      <c r="M7" s="11">
        <v>0</v>
      </c>
      <c r="N7" s="11">
        <v>0</v>
      </c>
      <c r="O7" s="11">
        <v>144.60000000000002</v>
      </c>
      <c r="P7" s="11">
        <v>0</v>
      </c>
      <c r="Q7" s="11">
        <v>0</v>
      </c>
      <c r="R7" s="11">
        <v>20.64</v>
      </c>
      <c r="S7" s="11">
        <v>19.3</v>
      </c>
      <c r="T7" s="11">
        <v>0</v>
      </c>
      <c r="U7" s="11">
        <v>0</v>
      </c>
      <c r="V7" s="20"/>
      <c r="W7" s="2"/>
    </row>
    <row r="8" spans="1:23" x14ac:dyDescent="0.25">
      <c r="A8" s="10">
        <v>250</v>
      </c>
      <c r="B8" s="10">
        <v>300</v>
      </c>
      <c r="C8" s="10" t="str">
        <f>IF(AND('Tarieven en Berekening'!$C$38&gt;=A8,'Tarieven en Berekening'!$C$38&lt;B8),"Ja","Nee")</f>
        <v>Nee</v>
      </c>
      <c r="D8" s="11">
        <f t="shared" si="0"/>
        <v>36.599999999999994</v>
      </c>
      <c r="E8" s="11">
        <v>48.84</v>
      </c>
      <c r="F8" s="11">
        <v>48.84</v>
      </c>
      <c r="G8" s="11">
        <v>0</v>
      </c>
      <c r="H8" s="11">
        <v>40.15</v>
      </c>
      <c r="I8" s="11">
        <f>3.75*12</f>
        <v>45</v>
      </c>
      <c r="J8" s="11">
        <v>48</v>
      </c>
      <c r="K8" s="11">
        <v>40.147799999999997</v>
      </c>
      <c r="L8" s="11">
        <v>30</v>
      </c>
      <c r="M8" s="11">
        <v>0</v>
      </c>
      <c r="N8" s="11">
        <v>0</v>
      </c>
      <c r="O8" s="11">
        <v>144.60000000000002</v>
      </c>
      <c r="P8" s="11">
        <v>40.799999999999997</v>
      </c>
      <c r="Q8" s="11">
        <v>0</v>
      </c>
      <c r="R8" s="11">
        <v>20.64</v>
      </c>
      <c r="S8" s="11">
        <v>19.3</v>
      </c>
      <c r="T8" s="11">
        <v>0</v>
      </c>
      <c r="U8" s="11">
        <v>0</v>
      </c>
      <c r="V8" s="20"/>
      <c r="W8" s="2"/>
    </row>
    <row r="9" spans="1:23" x14ac:dyDescent="0.25">
      <c r="A9" s="10">
        <v>300</v>
      </c>
      <c r="B9" s="10">
        <v>400</v>
      </c>
      <c r="C9" s="10" t="str">
        <f>IF(AND('Tarieven en Berekening'!$C$38&gt;=A9,'Tarieven en Berekening'!$C$38&lt;B9),"Ja","Nee")</f>
        <v>Nee</v>
      </c>
      <c r="D9" s="11">
        <f t="shared" si="0"/>
        <v>36.599999999999994</v>
      </c>
      <c r="E9" s="11">
        <v>48.84</v>
      </c>
      <c r="F9" s="11">
        <v>48.84</v>
      </c>
      <c r="G9" s="11">
        <v>0</v>
      </c>
      <c r="H9" s="11">
        <v>40.15</v>
      </c>
      <c r="I9" s="11">
        <f t="shared" ref="I9:I10" si="1">3.75*12</f>
        <v>45</v>
      </c>
      <c r="J9" s="11">
        <v>48</v>
      </c>
      <c r="K9" s="11">
        <v>40.147799999999997</v>
      </c>
      <c r="L9" s="11">
        <v>30</v>
      </c>
      <c r="M9" s="11">
        <v>0</v>
      </c>
      <c r="N9" s="11">
        <v>0</v>
      </c>
      <c r="O9" s="11">
        <v>144.60000000000002</v>
      </c>
      <c r="P9" s="11">
        <v>40.799999999999997</v>
      </c>
      <c r="Q9" s="11">
        <v>0</v>
      </c>
      <c r="R9" s="11">
        <v>20.64</v>
      </c>
      <c r="S9" s="11">
        <v>27</v>
      </c>
      <c r="T9" s="11">
        <v>0</v>
      </c>
      <c r="U9" s="11">
        <v>0</v>
      </c>
      <c r="V9" s="20"/>
      <c r="W9" s="2"/>
    </row>
    <row r="10" spans="1:23" x14ac:dyDescent="0.25">
      <c r="A10" s="10">
        <v>400</v>
      </c>
      <c r="B10" s="10">
        <v>500</v>
      </c>
      <c r="C10" s="10" t="str">
        <f>IF(AND('Tarieven en Berekening'!$C$38&gt;=A10,'Tarieven en Berekening'!$C$38&lt;B10),"Ja","Nee")</f>
        <v>Nee</v>
      </c>
      <c r="D10" s="11">
        <f t="shared" si="0"/>
        <v>36.599999999999994</v>
      </c>
      <c r="E10" s="11">
        <v>48.84</v>
      </c>
      <c r="F10" s="11">
        <v>48.84</v>
      </c>
      <c r="G10" s="11">
        <v>0</v>
      </c>
      <c r="H10" s="11">
        <v>40.15</v>
      </c>
      <c r="I10" s="11">
        <f t="shared" si="1"/>
        <v>45</v>
      </c>
      <c r="J10" s="11">
        <v>48</v>
      </c>
      <c r="K10" s="11">
        <v>40.147799999999997</v>
      </c>
      <c r="L10" s="11">
        <v>30</v>
      </c>
      <c r="M10" s="11">
        <v>0</v>
      </c>
      <c r="N10" s="11">
        <v>0</v>
      </c>
      <c r="O10" s="11">
        <v>144.60000000000002</v>
      </c>
      <c r="P10" s="11">
        <v>40.799999999999997</v>
      </c>
      <c r="Q10" s="11">
        <v>0</v>
      </c>
      <c r="R10" s="11">
        <v>20.64</v>
      </c>
      <c r="S10" s="11">
        <v>34.700000000000003</v>
      </c>
      <c r="T10" s="11">
        <v>0</v>
      </c>
      <c r="U10" s="11">
        <v>0</v>
      </c>
      <c r="V10" s="20"/>
      <c r="W10" s="2"/>
    </row>
    <row r="11" spans="1:23" x14ac:dyDescent="0.25">
      <c r="A11" s="10">
        <v>500</v>
      </c>
      <c r="B11" s="10">
        <v>600</v>
      </c>
      <c r="C11" s="10" t="str">
        <f>IF(AND('Tarieven en Berekening'!$C$38&gt;=A11,'Tarieven en Berekening'!$C$38&lt;B11),"Ja","Nee")</f>
        <v>Nee</v>
      </c>
      <c r="D11" s="11">
        <f t="shared" si="0"/>
        <v>36.599999999999994</v>
      </c>
      <c r="E11" s="11">
        <v>81.36</v>
      </c>
      <c r="F11" s="11">
        <v>81.36</v>
      </c>
      <c r="G11" s="11">
        <v>56</v>
      </c>
      <c r="H11" s="11">
        <v>40.15</v>
      </c>
      <c r="I11" s="11">
        <f>6.26*12</f>
        <v>75.12</v>
      </c>
      <c r="J11" s="11">
        <v>48</v>
      </c>
      <c r="K11" s="11">
        <v>40.147799999999997</v>
      </c>
      <c r="L11" s="11">
        <v>30</v>
      </c>
      <c r="M11" s="11">
        <v>0</v>
      </c>
      <c r="N11" s="11">
        <v>0</v>
      </c>
      <c r="O11" s="11">
        <v>199.79999999999998</v>
      </c>
      <c r="P11" s="11">
        <v>81.599999999999994</v>
      </c>
      <c r="Q11" s="11">
        <v>0</v>
      </c>
      <c r="R11" s="11">
        <v>20.64</v>
      </c>
      <c r="S11" s="11">
        <v>42.4</v>
      </c>
      <c r="T11" s="11">
        <v>0</v>
      </c>
      <c r="U11" s="11">
        <v>0</v>
      </c>
      <c r="V11" s="20"/>
      <c r="W11" s="2"/>
    </row>
    <row r="12" spans="1:23" x14ac:dyDescent="0.25">
      <c r="A12" s="10">
        <v>600</v>
      </c>
      <c r="B12" s="10">
        <v>700</v>
      </c>
      <c r="C12" s="10" t="str">
        <f>IF(AND('Tarieven en Berekening'!$C$38&gt;=A12,'Tarieven en Berekening'!$C$38&lt;B12),"Ja","Nee")</f>
        <v>Nee</v>
      </c>
      <c r="D12" s="11">
        <f t="shared" si="0"/>
        <v>36.599999999999994</v>
      </c>
      <c r="E12" s="11">
        <v>81.36</v>
      </c>
      <c r="F12" s="11">
        <v>81.36</v>
      </c>
      <c r="G12" s="11">
        <v>56</v>
      </c>
      <c r="H12" s="11">
        <v>40.15</v>
      </c>
      <c r="I12" s="11">
        <f t="shared" ref="I12:I13" si="2">6.26*12</f>
        <v>75.12</v>
      </c>
      <c r="J12" s="11">
        <v>48</v>
      </c>
      <c r="K12" s="11">
        <v>40.147799999999997</v>
      </c>
      <c r="L12" s="11">
        <v>30</v>
      </c>
      <c r="M12" s="11">
        <v>0</v>
      </c>
      <c r="N12" s="11">
        <v>0</v>
      </c>
      <c r="O12" s="11">
        <v>199.79999999999998</v>
      </c>
      <c r="P12" s="11">
        <v>81.599999999999994</v>
      </c>
      <c r="Q12" s="11">
        <v>0</v>
      </c>
      <c r="R12" s="11">
        <v>20.64</v>
      </c>
      <c r="S12" s="11">
        <v>50.2</v>
      </c>
      <c r="T12" s="11">
        <v>0</v>
      </c>
      <c r="U12" s="11">
        <v>0</v>
      </c>
      <c r="V12" s="20"/>
      <c r="W12" s="2"/>
    </row>
    <row r="13" spans="1:23" x14ac:dyDescent="0.25">
      <c r="A13" s="10">
        <v>700</v>
      </c>
      <c r="B13" s="10">
        <v>750</v>
      </c>
      <c r="C13" s="10" t="str">
        <f>IF(AND('Tarieven en Berekening'!$C$38&gt;=A13,'Tarieven en Berekening'!$C$38&lt;B13),"Ja","Nee")</f>
        <v>Nee</v>
      </c>
      <c r="D13" s="11">
        <f t="shared" si="0"/>
        <v>36.599999999999994</v>
      </c>
      <c r="E13" s="11">
        <v>81.36</v>
      </c>
      <c r="F13" s="11">
        <v>81.36</v>
      </c>
      <c r="G13" s="11">
        <v>56</v>
      </c>
      <c r="H13" s="11">
        <v>40.15</v>
      </c>
      <c r="I13" s="11">
        <f t="shared" si="2"/>
        <v>75.12</v>
      </c>
      <c r="J13" s="11">
        <v>48</v>
      </c>
      <c r="K13" s="11">
        <v>40.147799999999997</v>
      </c>
      <c r="L13" s="11">
        <v>30</v>
      </c>
      <c r="M13" s="11">
        <v>0</v>
      </c>
      <c r="N13" s="11">
        <v>0</v>
      </c>
      <c r="O13" s="11">
        <v>199.79999999999998</v>
      </c>
      <c r="P13" s="11">
        <v>81.599999999999994</v>
      </c>
      <c r="Q13" s="11">
        <v>0</v>
      </c>
      <c r="R13" s="11">
        <v>20.64</v>
      </c>
      <c r="S13" s="11">
        <v>57.8</v>
      </c>
      <c r="T13" s="11">
        <v>0</v>
      </c>
      <c r="U13" s="11">
        <v>0</v>
      </c>
      <c r="V13" s="20"/>
      <c r="W13" s="2"/>
    </row>
    <row r="14" spans="1:23" x14ac:dyDescent="0.25">
      <c r="A14" s="10">
        <v>750</v>
      </c>
      <c r="B14" s="10">
        <v>800</v>
      </c>
      <c r="C14" s="10" t="str">
        <f>IF(AND('Tarieven en Berekening'!$C$38&gt;=A14,'Tarieven en Berekening'!$C$38&lt;B14),"Ja","Nee")</f>
        <v>Nee</v>
      </c>
      <c r="D14" s="11">
        <f t="shared" si="0"/>
        <v>36.599999999999994</v>
      </c>
      <c r="E14" s="11">
        <v>113.64000000000001</v>
      </c>
      <c r="F14" s="11">
        <v>113.64000000000001</v>
      </c>
      <c r="G14" s="11">
        <v>84</v>
      </c>
      <c r="H14" s="11">
        <v>40.15</v>
      </c>
      <c r="I14" s="11">
        <f>8.75*12</f>
        <v>105</v>
      </c>
      <c r="J14" s="11">
        <v>48</v>
      </c>
      <c r="K14" s="11">
        <v>40.147799999999997</v>
      </c>
      <c r="L14" s="11">
        <v>30</v>
      </c>
      <c r="M14" s="11">
        <v>0</v>
      </c>
      <c r="N14" s="11">
        <v>0</v>
      </c>
      <c r="O14" s="11">
        <v>199.79999999999998</v>
      </c>
      <c r="P14" s="11">
        <v>108</v>
      </c>
      <c r="Q14" s="11">
        <v>0</v>
      </c>
      <c r="R14" s="11">
        <v>20.64</v>
      </c>
      <c r="S14" s="11">
        <v>57.8</v>
      </c>
      <c r="T14" s="11">
        <v>0</v>
      </c>
      <c r="U14" s="11">
        <v>0</v>
      </c>
      <c r="V14" s="20"/>
      <c r="W14" s="2"/>
    </row>
    <row r="15" spans="1:23" x14ac:dyDescent="0.25">
      <c r="A15" s="10">
        <v>800</v>
      </c>
      <c r="B15" s="10">
        <v>900</v>
      </c>
      <c r="C15" s="10" t="str">
        <f>IF(AND('Tarieven en Berekening'!$C$38&gt;=A15,'Tarieven en Berekening'!$C$38&lt;B15),"Ja","Nee")</f>
        <v>Nee</v>
      </c>
      <c r="D15" s="11">
        <f t="shared" si="0"/>
        <v>36.599999999999994</v>
      </c>
      <c r="E15" s="11">
        <v>113.64000000000001</v>
      </c>
      <c r="F15" s="11">
        <v>113.64000000000001</v>
      </c>
      <c r="G15" s="11">
        <v>84</v>
      </c>
      <c r="H15" s="11">
        <v>40.15</v>
      </c>
      <c r="I15" s="11">
        <f t="shared" ref="I15:I16" si="3">8.75*12</f>
        <v>105</v>
      </c>
      <c r="J15" s="11">
        <v>48</v>
      </c>
      <c r="K15" s="11">
        <v>40.147799999999997</v>
      </c>
      <c r="L15" s="11">
        <v>30</v>
      </c>
      <c r="M15" s="11">
        <v>0</v>
      </c>
      <c r="N15" s="11">
        <v>0</v>
      </c>
      <c r="O15" s="11">
        <v>199.79999999999998</v>
      </c>
      <c r="P15" s="11">
        <v>108</v>
      </c>
      <c r="Q15" s="11">
        <v>0</v>
      </c>
      <c r="R15" s="11">
        <v>20.64</v>
      </c>
      <c r="S15" s="11">
        <v>65.5</v>
      </c>
      <c r="T15" s="11">
        <v>0</v>
      </c>
      <c r="U15" s="11">
        <v>0</v>
      </c>
      <c r="V15" s="20"/>
      <c r="W15" s="2"/>
    </row>
    <row r="16" spans="1:23" x14ac:dyDescent="0.25">
      <c r="A16" s="10">
        <v>900</v>
      </c>
      <c r="B16" s="10">
        <v>1000</v>
      </c>
      <c r="C16" s="10" t="str">
        <f>IF(AND('Tarieven en Berekening'!$C$38&gt;=A16,'Tarieven en Berekening'!$C$38&lt;B16),"Ja","Nee")</f>
        <v>Nee</v>
      </c>
      <c r="D16" s="11">
        <f t="shared" si="0"/>
        <v>36.599999999999994</v>
      </c>
      <c r="E16" s="11">
        <v>113.64000000000001</v>
      </c>
      <c r="F16" s="11">
        <v>113.64000000000001</v>
      </c>
      <c r="G16" s="11">
        <v>84</v>
      </c>
      <c r="H16" s="11">
        <v>40.15</v>
      </c>
      <c r="I16" s="11">
        <f t="shared" si="3"/>
        <v>105</v>
      </c>
      <c r="J16" s="11">
        <v>48</v>
      </c>
      <c r="K16" s="11">
        <v>40.147799999999997</v>
      </c>
      <c r="L16" s="11">
        <v>30</v>
      </c>
      <c r="M16" s="11">
        <v>0</v>
      </c>
      <c r="N16" s="11">
        <v>0</v>
      </c>
      <c r="O16" s="11">
        <v>199.79999999999998</v>
      </c>
      <c r="P16" s="11">
        <v>108</v>
      </c>
      <c r="Q16" s="11">
        <v>0</v>
      </c>
      <c r="R16" s="11">
        <v>20.64</v>
      </c>
      <c r="S16" s="11">
        <v>73.3</v>
      </c>
      <c r="T16" s="11">
        <v>0</v>
      </c>
      <c r="U16" s="11">
        <v>0</v>
      </c>
      <c r="V16" s="20"/>
      <c r="W16" s="2"/>
    </row>
    <row r="17" spans="1:23" x14ac:dyDescent="0.25">
      <c r="A17" s="10">
        <v>1000</v>
      </c>
      <c r="B17" s="10">
        <v>1100</v>
      </c>
      <c r="C17" s="10" t="str">
        <f>IF(AND('Tarieven en Berekening'!$C$38&gt;=A17,'Tarieven en Berekening'!$C$38&lt;B17),"Ja","Nee")</f>
        <v>Nee</v>
      </c>
      <c r="D17" s="11">
        <f>10.07*12</f>
        <v>120.84</v>
      </c>
      <c r="E17" s="11">
        <v>146.16</v>
      </c>
      <c r="F17" s="11">
        <v>146.16</v>
      </c>
      <c r="G17" s="11">
        <v>115</v>
      </c>
      <c r="H17" s="11">
        <v>124.1</v>
      </c>
      <c r="I17" s="11">
        <f>11.25*12</f>
        <v>135</v>
      </c>
      <c r="J17" s="11">
        <f>12.5*12</f>
        <v>150</v>
      </c>
      <c r="K17" s="11">
        <v>124.0976</v>
      </c>
      <c r="L17" s="11">
        <v>132</v>
      </c>
      <c r="M17" s="11">
        <v>96.84</v>
      </c>
      <c r="N17" s="11">
        <v>96.84</v>
      </c>
      <c r="O17" s="11">
        <v>257.28000000000003</v>
      </c>
      <c r="P17" s="11">
        <v>116.4</v>
      </c>
      <c r="Q17" s="11">
        <v>85</v>
      </c>
      <c r="R17" s="11">
        <v>116.16</v>
      </c>
      <c r="S17" s="11">
        <v>80.900000000000006</v>
      </c>
      <c r="T17" s="11">
        <v>96.8</v>
      </c>
      <c r="U17" s="11">
        <v>97</v>
      </c>
      <c r="V17" s="20"/>
      <c r="W17" s="2"/>
    </row>
    <row r="18" spans="1:23" x14ac:dyDescent="0.25">
      <c r="A18" s="10">
        <v>1100</v>
      </c>
      <c r="B18" s="10">
        <v>1200</v>
      </c>
      <c r="C18" s="10" t="str">
        <f>IF(AND('Tarieven en Berekening'!$C$38&gt;=A18,'Tarieven en Berekening'!$C$38&lt;B18),"Ja","Nee")</f>
        <v>Nee</v>
      </c>
      <c r="D18" s="11">
        <f t="shared" ref="D18:D28" si="4">10.07*12</f>
        <v>120.84</v>
      </c>
      <c r="E18" s="11">
        <v>146.16</v>
      </c>
      <c r="F18" s="11">
        <v>146.16</v>
      </c>
      <c r="G18" s="11">
        <v>115</v>
      </c>
      <c r="H18" s="11">
        <v>124.1</v>
      </c>
      <c r="I18" s="11">
        <f t="shared" ref="I18:I19" si="5">11.25*12</f>
        <v>135</v>
      </c>
      <c r="J18" s="11">
        <f t="shared" ref="J18:J28" si="6">12.5*12</f>
        <v>150</v>
      </c>
      <c r="K18" s="11">
        <v>124.0976</v>
      </c>
      <c r="L18" s="11">
        <v>132</v>
      </c>
      <c r="M18" s="11">
        <v>96.84</v>
      </c>
      <c r="N18" s="11">
        <v>96.84</v>
      </c>
      <c r="O18" s="11">
        <v>257.28000000000003</v>
      </c>
      <c r="P18" s="11">
        <v>116.4</v>
      </c>
      <c r="Q18" s="11">
        <v>95</v>
      </c>
      <c r="R18" s="11">
        <v>116.16</v>
      </c>
      <c r="S18" s="11">
        <v>88.6</v>
      </c>
      <c r="T18" s="11">
        <v>96.8</v>
      </c>
      <c r="U18" s="11">
        <v>97</v>
      </c>
      <c r="V18" s="20"/>
      <c r="W18" s="2"/>
    </row>
    <row r="19" spans="1:23" x14ac:dyDescent="0.25">
      <c r="A19" s="10">
        <v>1200</v>
      </c>
      <c r="B19" s="10">
        <v>1250</v>
      </c>
      <c r="C19" s="10" t="str">
        <f>IF(AND('Tarieven en Berekening'!$C$38&gt;=A19,'Tarieven en Berekening'!$C$38&lt;B19),"Ja","Nee")</f>
        <v>Nee</v>
      </c>
      <c r="D19" s="11">
        <f t="shared" si="4"/>
        <v>120.84</v>
      </c>
      <c r="E19" s="11">
        <v>146.16</v>
      </c>
      <c r="F19" s="11">
        <v>146.16</v>
      </c>
      <c r="G19" s="11">
        <v>115</v>
      </c>
      <c r="H19" s="11">
        <v>124.1</v>
      </c>
      <c r="I19" s="11">
        <f t="shared" si="5"/>
        <v>135</v>
      </c>
      <c r="J19" s="11">
        <f t="shared" si="6"/>
        <v>150</v>
      </c>
      <c r="K19" s="11">
        <v>124.0976</v>
      </c>
      <c r="L19" s="11">
        <v>132</v>
      </c>
      <c r="M19" s="11">
        <v>96.84</v>
      </c>
      <c r="N19" s="11">
        <v>96.84</v>
      </c>
      <c r="O19" s="11">
        <v>257.28000000000003</v>
      </c>
      <c r="P19" s="11">
        <v>116.4</v>
      </c>
      <c r="Q19" s="11">
        <v>105</v>
      </c>
      <c r="R19" s="11">
        <v>116.16</v>
      </c>
      <c r="S19" s="11">
        <v>96.3</v>
      </c>
      <c r="T19" s="11">
        <v>96.8</v>
      </c>
      <c r="U19" s="11">
        <v>97</v>
      </c>
      <c r="V19" s="20"/>
      <c r="W19" s="2"/>
    </row>
    <row r="20" spans="1:23" x14ac:dyDescent="0.25">
      <c r="A20" s="10">
        <v>1250</v>
      </c>
      <c r="B20" s="10">
        <v>1300</v>
      </c>
      <c r="C20" s="10" t="str">
        <f>IF(AND('Tarieven en Berekening'!$C$38&gt;=A20,'Tarieven en Berekening'!$C$38&lt;B20),"Ja","Nee")</f>
        <v>Nee</v>
      </c>
      <c r="D20" s="11">
        <f t="shared" si="4"/>
        <v>120.84</v>
      </c>
      <c r="E20" s="11">
        <v>178.8</v>
      </c>
      <c r="F20" s="11">
        <v>178.8</v>
      </c>
      <c r="G20" s="11">
        <v>139</v>
      </c>
      <c r="H20" s="11">
        <v>124.1</v>
      </c>
      <c r="I20" s="11">
        <f>13.75*12</f>
        <v>165</v>
      </c>
      <c r="J20" s="11">
        <f t="shared" si="6"/>
        <v>150</v>
      </c>
      <c r="K20" s="11">
        <v>124.0976</v>
      </c>
      <c r="L20" s="11">
        <v>132</v>
      </c>
      <c r="M20" s="11">
        <v>96.84</v>
      </c>
      <c r="N20" s="11">
        <v>96.84</v>
      </c>
      <c r="O20" s="11">
        <v>257.28000000000003</v>
      </c>
      <c r="P20" s="11">
        <v>124.8</v>
      </c>
      <c r="Q20" s="11">
        <v>105</v>
      </c>
      <c r="R20" s="11">
        <v>116.16</v>
      </c>
      <c r="S20" s="11">
        <v>96.3</v>
      </c>
      <c r="T20" s="11">
        <v>96.8</v>
      </c>
      <c r="U20" s="11">
        <v>97</v>
      </c>
      <c r="V20" s="20"/>
      <c r="W20" s="2"/>
    </row>
    <row r="21" spans="1:23" x14ac:dyDescent="0.25">
      <c r="A21" s="10">
        <v>1300</v>
      </c>
      <c r="B21" s="10">
        <v>1400</v>
      </c>
      <c r="C21" s="10" t="str">
        <f>IF(AND('Tarieven en Berekening'!$C$38&gt;=A21,'Tarieven en Berekening'!$C$38&lt;B21),"Ja","Nee")</f>
        <v>Nee</v>
      </c>
      <c r="D21" s="11">
        <f t="shared" si="4"/>
        <v>120.84</v>
      </c>
      <c r="E21" s="11">
        <v>178.8</v>
      </c>
      <c r="F21" s="11">
        <v>178.8</v>
      </c>
      <c r="G21" s="11">
        <v>139</v>
      </c>
      <c r="H21" s="11">
        <v>124.1</v>
      </c>
      <c r="I21" s="11">
        <f t="shared" ref="I21:I22" si="7">13.75*12</f>
        <v>165</v>
      </c>
      <c r="J21" s="11">
        <f t="shared" si="6"/>
        <v>150</v>
      </c>
      <c r="K21" s="11">
        <v>124.0976</v>
      </c>
      <c r="L21" s="11">
        <v>132</v>
      </c>
      <c r="M21" s="11">
        <v>96.84</v>
      </c>
      <c r="N21" s="11">
        <v>96.84</v>
      </c>
      <c r="O21" s="11">
        <v>257.28000000000003</v>
      </c>
      <c r="P21" s="11">
        <v>124.8</v>
      </c>
      <c r="Q21" s="11">
        <v>115</v>
      </c>
      <c r="R21" s="11">
        <v>116.16</v>
      </c>
      <c r="S21" s="11">
        <v>104.1</v>
      </c>
      <c r="T21" s="11">
        <v>96.8</v>
      </c>
      <c r="U21" s="11">
        <v>97</v>
      </c>
      <c r="V21" s="20"/>
      <c r="W21" s="2"/>
    </row>
    <row r="22" spans="1:23" x14ac:dyDescent="0.25">
      <c r="A22" s="10">
        <v>1400</v>
      </c>
      <c r="B22" s="10">
        <v>1500</v>
      </c>
      <c r="C22" s="10" t="str">
        <f>IF(AND('Tarieven en Berekening'!$C$38&gt;=A22,'Tarieven en Berekening'!$C$38&lt;B22),"Ja","Nee")</f>
        <v>Nee</v>
      </c>
      <c r="D22" s="11">
        <f t="shared" si="4"/>
        <v>120.84</v>
      </c>
      <c r="E22" s="11">
        <v>178.8</v>
      </c>
      <c r="F22" s="11">
        <v>178.8</v>
      </c>
      <c r="G22" s="11">
        <v>139</v>
      </c>
      <c r="H22" s="11">
        <v>124.1</v>
      </c>
      <c r="I22" s="11">
        <f t="shared" si="7"/>
        <v>165</v>
      </c>
      <c r="J22" s="11">
        <f t="shared" si="6"/>
        <v>150</v>
      </c>
      <c r="K22" s="11">
        <v>124.0976</v>
      </c>
      <c r="L22" s="11">
        <v>132</v>
      </c>
      <c r="M22" s="11">
        <v>96.84</v>
      </c>
      <c r="N22" s="11">
        <v>96.84</v>
      </c>
      <c r="O22" s="11">
        <v>257.28000000000003</v>
      </c>
      <c r="P22" s="11">
        <v>124.8</v>
      </c>
      <c r="Q22" s="11">
        <v>125</v>
      </c>
      <c r="R22" s="11">
        <v>116.16</v>
      </c>
      <c r="S22" s="11">
        <v>111.8</v>
      </c>
      <c r="T22" s="11">
        <v>96.8</v>
      </c>
      <c r="U22" s="11">
        <v>97</v>
      </c>
      <c r="V22" s="20"/>
      <c r="W22" s="2"/>
    </row>
    <row r="23" spans="1:23" x14ac:dyDescent="0.25">
      <c r="A23" s="10">
        <v>1500</v>
      </c>
      <c r="B23" s="10">
        <v>1600</v>
      </c>
      <c r="C23" s="10" t="str">
        <f>IF(AND('Tarieven en Berekening'!$C$38&gt;=A23,'Tarieven en Berekening'!$C$38&lt;B23),"Ja","Nee")</f>
        <v>Nee</v>
      </c>
      <c r="D23" s="11">
        <f t="shared" si="4"/>
        <v>120.84</v>
      </c>
      <c r="E23" s="11">
        <v>211.32</v>
      </c>
      <c r="F23" s="11">
        <v>211.32</v>
      </c>
      <c r="G23" s="11">
        <v>165</v>
      </c>
      <c r="H23" s="11">
        <v>124.1</v>
      </c>
      <c r="I23" s="11">
        <f>16.25*12</f>
        <v>195</v>
      </c>
      <c r="J23" s="11">
        <f t="shared" si="6"/>
        <v>150</v>
      </c>
      <c r="K23" s="11">
        <v>124.0976</v>
      </c>
      <c r="L23" s="11">
        <v>132</v>
      </c>
      <c r="M23" s="11">
        <v>133.07999999999998</v>
      </c>
      <c r="N23" s="11">
        <v>133.07999999999998</v>
      </c>
      <c r="O23" s="11">
        <v>314.88</v>
      </c>
      <c r="P23" s="11">
        <v>139.19999999999999</v>
      </c>
      <c r="Q23" s="11">
        <v>145</v>
      </c>
      <c r="R23" s="11">
        <v>116.16</v>
      </c>
      <c r="S23" s="11">
        <v>119.5</v>
      </c>
      <c r="T23" s="11">
        <v>133.1</v>
      </c>
      <c r="U23" s="11">
        <v>133</v>
      </c>
      <c r="V23" s="20"/>
    </row>
    <row r="24" spans="1:23" x14ac:dyDescent="0.25">
      <c r="A24" s="10">
        <v>1600</v>
      </c>
      <c r="B24" s="10">
        <v>1700</v>
      </c>
      <c r="C24" s="10" t="str">
        <f>IF(AND('Tarieven en Berekening'!$C$38&gt;=A24,'Tarieven en Berekening'!$C$38&lt;B24),"Ja","Nee")</f>
        <v>Nee</v>
      </c>
      <c r="D24" s="11">
        <f t="shared" si="4"/>
        <v>120.84</v>
      </c>
      <c r="E24" s="11">
        <v>211.32</v>
      </c>
      <c r="F24" s="11">
        <v>211.32</v>
      </c>
      <c r="G24" s="11">
        <v>165</v>
      </c>
      <c r="H24" s="11">
        <v>124.1</v>
      </c>
      <c r="I24" s="11">
        <f t="shared" ref="I24:I25" si="8">16.25*12</f>
        <v>195</v>
      </c>
      <c r="J24" s="11">
        <f t="shared" si="6"/>
        <v>150</v>
      </c>
      <c r="K24" s="11">
        <v>124.0976</v>
      </c>
      <c r="L24" s="11">
        <v>132</v>
      </c>
      <c r="M24" s="11">
        <v>133.07999999999998</v>
      </c>
      <c r="N24" s="11">
        <v>133.07999999999998</v>
      </c>
      <c r="O24" s="11">
        <v>314.88</v>
      </c>
      <c r="P24" s="11">
        <v>139.19999999999999</v>
      </c>
      <c r="Q24" s="11">
        <v>145</v>
      </c>
      <c r="R24" s="11">
        <v>116.16</v>
      </c>
      <c r="S24" s="11">
        <v>127.2</v>
      </c>
      <c r="T24" s="11">
        <v>133.1</v>
      </c>
      <c r="U24" s="11">
        <v>133</v>
      </c>
      <c r="V24" s="20"/>
    </row>
    <row r="25" spans="1:23" x14ac:dyDescent="0.25">
      <c r="A25" s="10">
        <v>1700</v>
      </c>
      <c r="B25" s="10">
        <v>1750</v>
      </c>
      <c r="C25" s="10" t="str">
        <f>IF(AND('Tarieven en Berekening'!$C$38&gt;=A25,'Tarieven en Berekening'!$C$38&lt;B25),"Ja","Nee")</f>
        <v>Nee</v>
      </c>
      <c r="D25" s="11">
        <f t="shared" si="4"/>
        <v>120.84</v>
      </c>
      <c r="E25" s="11">
        <v>211.32</v>
      </c>
      <c r="F25" s="11">
        <v>211.32</v>
      </c>
      <c r="G25" s="11">
        <v>165</v>
      </c>
      <c r="H25" s="11">
        <v>124.1</v>
      </c>
      <c r="I25" s="11">
        <f t="shared" si="8"/>
        <v>195</v>
      </c>
      <c r="J25" s="11">
        <f t="shared" si="6"/>
        <v>150</v>
      </c>
      <c r="K25" s="11">
        <v>124.0976</v>
      </c>
      <c r="L25" s="11">
        <v>132</v>
      </c>
      <c r="M25" s="11">
        <v>133.07999999999998</v>
      </c>
      <c r="N25" s="11">
        <v>133.07999999999998</v>
      </c>
      <c r="O25" s="11">
        <v>314.88</v>
      </c>
      <c r="P25" s="11">
        <v>139.19999999999999</v>
      </c>
      <c r="Q25" s="11">
        <v>145</v>
      </c>
      <c r="R25" s="11">
        <v>116.16</v>
      </c>
      <c r="S25" s="11">
        <v>134.9</v>
      </c>
      <c r="T25" s="11">
        <v>133.1</v>
      </c>
      <c r="U25" s="11">
        <v>133</v>
      </c>
      <c r="V25" s="20"/>
    </row>
    <row r="26" spans="1:23" x14ac:dyDescent="0.25">
      <c r="A26" s="10">
        <v>1750</v>
      </c>
      <c r="B26" s="10">
        <v>1800</v>
      </c>
      <c r="C26" s="10" t="str">
        <f>IF(AND('Tarieven en Berekening'!$C$38&gt;=A26,'Tarieven en Berekening'!$C$38&lt;B26),"Ja","Nee")</f>
        <v>Nee</v>
      </c>
      <c r="D26" s="11">
        <f t="shared" si="4"/>
        <v>120.84</v>
      </c>
      <c r="E26" s="11">
        <v>243.84</v>
      </c>
      <c r="F26" s="11">
        <v>243.84</v>
      </c>
      <c r="G26" s="11">
        <v>191</v>
      </c>
      <c r="H26" s="11">
        <v>124.1</v>
      </c>
      <c r="I26" s="11">
        <f>18.75*12</f>
        <v>225</v>
      </c>
      <c r="J26" s="11">
        <f t="shared" si="6"/>
        <v>150</v>
      </c>
      <c r="K26" s="11">
        <v>124.0976</v>
      </c>
      <c r="L26" s="11">
        <v>132</v>
      </c>
      <c r="M26" s="11">
        <v>133.07999999999998</v>
      </c>
      <c r="N26" s="11">
        <v>133.07999999999998</v>
      </c>
      <c r="O26" s="11">
        <v>314.88</v>
      </c>
      <c r="P26" s="11">
        <v>158.4</v>
      </c>
      <c r="Q26" s="11">
        <v>175</v>
      </c>
      <c r="R26" s="11">
        <v>116.16</v>
      </c>
      <c r="S26" s="11">
        <v>134.9</v>
      </c>
      <c r="T26" s="11">
        <v>133.1</v>
      </c>
      <c r="U26" s="11">
        <v>133</v>
      </c>
      <c r="V26" s="20"/>
    </row>
    <row r="27" spans="1:23" x14ac:dyDescent="0.25">
      <c r="A27" s="10">
        <v>1800</v>
      </c>
      <c r="B27" s="10">
        <v>1900</v>
      </c>
      <c r="C27" s="10" t="str">
        <f>IF(AND('Tarieven en Berekening'!$C$38&gt;=A27,'Tarieven en Berekening'!$C$38&lt;B27),"Ja","Nee")</f>
        <v>Nee</v>
      </c>
      <c r="D27" s="11">
        <f t="shared" si="4"/>
        <v>120.84</v>
      </c>
      <c r="E27" s="11">
        <v>243.84</v>
      </c>
      <c r="F27" s="11">
        <v>243.84</v>
      </c>
      <c r="G27" s="11">
        <v>191</v>
      </c>
      <c r="H27" s="11">
        <v>124.1</v>
      </c>
      <c r="I27" s="11">
        <f t="shared" ref="I27:I28" si="9">18.75*12</f>
        <v>225</v>
      </c>
      <c r="J27" s="11">
        <f t="shared" si="6"/>
        <v>150</v>
      </c>
      <c r="K27" s="11">
        <v>124.0976</v>
      </c>
      <c r="L27" s="11">
        <v>132</v>
      </c>
      <c r="M27" s="11">
        <v>133.07999999999998</v>
      </c>
      <c r="N27" s="11">
        <v>133.07999999999998</v>
      </c>
      <c r="O27" s="11">
        <v>314.88</v>
      </c>
      <c r="P27" s="11">
        <v>158.4</v>
      </c>
      <c r="Q27" s="11">
        <v>175</v>
      </c>
      <c r="R27" s="11">
        <v>116.16</v>
      </c>
      <c r="S27" s="11">
        <v>142.6</v>
      </c>
      <c r="T27" s="11">
        <v>133.1</v>
      </c>
      <c r="U27" s="11">
        <v>133</v>
      </c>
      <c r="V27" s="20"/>
    </row>
    <row r="28" spans="1:23" x14ac:dyDescent="0.25">
      <c r="A28" s="10">
        <v>1900</v>
      </c>
      <c r="B28" s="10">
        <v>2000</v>
      </c>
      <c r="C28" s="10" t="str">
        <f>IF(AND('Tarieven en Berekening'!$C$38&gt;=A28,'Tarieven en Berekening'!$C$38&lt;B28),"Ja","Nee")</f>
        <v>Nee</v>
      </c>
      <c r="D28" s="11">
        <f t="shared" si="4"/>
        <v>120.84</v>
      </c>
      <c r="E28" s="11">
        <v>243.84</v>
      </c>
      <c r="F28" s="11">
        <v>243.84</v>
      </c>
      <c r="G28" s="11">
        <v>191</v>
      </c>
      <c r="H28" s="11">
        <v>124.1</v>
      </c>
      <c r="I28" s="11">
        <f t="shared" si="9"/>
        <v>225</v>
      </c>
      <c r="J28" s="11">
        <f t="shared" si="6"/>
        <v>150</v>
      </c>
      <c r="K28" s="11">
        <v>124.0976</v>
      </c>
      <c r="L28" s="11">
        <v>132</v>
      </c>
      <c r="M28" s="11">
        <v>133.07999999999998</v>
      </c>
      <c r="N28" s="11">
        <v>133.07999999999998</v>
      </c>
      <c r="O28" s="11">
        <v>314.88</v>
      </c>
      <c r="P28" s="11">
        <v>158.4</v>
      </c>
      <c r="Q28" s="11">
        <v>175</v>
      </c>
      <c r="R28" s="11">
        <v>116.16</v>
      </c>
      <c r="S28" s="11">
        <v>150.4</v>
      </c>
      <c r="T28" s="11">
        <v>133.1</v>
      </c>
      <c r="U28" s="11">
        <v>133</v>
      </c>
      <c r="V28" s="20"/>
    </row>
    <row r="29" spans="1:23" x14ac:dyDescent="0.25">
      <c r="A29" s="10">
        <v>2000</v>
      </c>
      <c r="B29" s="10">
        <v>2200</v>
      </c>
      <c r="C29" s="10" t="str">
        <f>IF(AND('Tarieven en Berekening'!$C$38&gt;=A29,'Tarieven en Berekening'!$C$38&lt;B29),"Ja","Nee")</f>
        <v>Nee</v>
      </c>
      <c r="D29" s="11">
        <f>20.13*12</f>
        <v>241.56</v>
      </c>
      <c r="E29" s="11">
        <v>276.36</v>
      </c>
      <c r="F29" s="11">
        <v>276.36</v>
      </c>
      <c r="G29" s="11">
        <v>215</v>
      </c>
      <c r="H29" s="11">
        <v>269.91000000000003</v>
      </c>
      <c r="I29" s="11">
        <f>21.25*12</f>
        <v>255</v>
      </c>
      <c r="J29" s="11">
        <f>21*12</f>
        <v>252</v>
      </c>
      <c r="K29" s="11">
        <v>269.91000000000003</v>
      </c>
      <c r="L29" s="11">
        <v>234</v>
      </c>
      <c r="M29" s="11">
        <v>169.44</v>
      </c>
      <c r="N29" s="11">
        <v>169.44</v>
      </c>
      <c r="O29" s="11">
        <v>372.36</v>
      </c>
      <c r="P29" s="11">
        <v>177.6</v>
      </c>
      <c r="Q29" s="11">
        <v>205</v>
      </c>
      <c r="R29" s="11">
        <v>223.8</v>
      </c>
      <c r="S29" s="11">
        <v>161.9</v>
      </c>
      <c r="T29" s="11">
        <v>169.4</v>
      </c>
      <c r="U29" s="11">
        <v>169</v>
      </c>
      <c r="V29" s="20"/>
    </row>
    <row r="30" spans="1:23" x14ac:dyDescent="0.25">
      <c r="A30" s="10">
        <v>2200</v>
      </c>
      <c r="B30" s="10">
        <v>2250</v>
      </c>
      <c r="C30" s="10" t="str">
        <f>IF(AND('Tarieven en Berekening'!$C$38&gt;=A30,'Tarieven en Berekening'!$C$38&lt;B30),"Ja","Nee")</f>
        <v>Nee</v>
      </c>
      <c r="D30" s="11">
        <f t="shared" ref="D30:D36" si="10">20.13*12</f>
        <v>241.56</v>
      </c>
      <c r="E30" s="11">
        <v>276.36</v>
      </c>
      <c r="F30" s="11">
        <v>276.36</v>
      </c>
      <c r="G30" s="11">
        <v>215</v>
      </c>
      <c r="H30" s="11">
        <v>269.91000000000003</v>
      </c>
      <c r="I30" s="11">
        <f>21.25*12</f>
        <v>255</v>
      </c>
      <c r="J30" s="11">
        <f t="shared" ref="J30:J36" si="11">21*12</f>
        <v>252</v>
      </c>
      <c r="K30" s="11">
        <v>269.91000000000003</v>
      </c>
      <c r="L30" s="11">
        <v>234</v>
      </c>
      <c r="M30" s="11">
        <v>169.44</v>
      </c>
      <c r="N30" s="11">
        <v>169.44</v>
      </c>
      <c r="O30" s="11">
        <v>372.36</v>
      </c>
      <c r="P30" s="11">
        <v>177.6</v>
      </c>
      <c r="Q30" s="11">
        <v>205</v>
      </c>
      <c r="R30" s="11">
        <v>223.8</v>
      </c>
      <c r="S30" s="11">
        <v>177.3</v>
      </c>
      <c r="T30" s="11">
        <v>169.4</v>
      </c>
      <c r="U30" s="11">
        <v>169</v>
      </c>
      <c r="V30" s="20"/>
    </row>
    <row r="31" spans="1:23" x14ac:dyDescent="0.25">
      <c r="A31" s="10">
        <v>2250</v>
      </c>
      <c r="B31" s="10">
        <v>2400</v>
      </c>
      <c r="C31" s="10" t="str">
        <f>IF(AND('Tarieven en Berekening'!$C$38&gt;=A31,'Tarieven en Berekening'!$C$38&lt;B31),"Ja","Nee")</f>
        <v>Nee</v>
      </c>
      <c r="D31" s="11">
        <f t="shared" si="10"/>
        <v>241.56</v>
      </c>
      <c r="E31" s="11">
        <v>308.76</v>
      </c>
      <c r="F31" s="11">
        <v>308.76</v>
      </c>
      <c r="G31" s="11">
        <v>241</v>
      </c>
      <c r="H31" s="11">
        <v>269.91000000000003</v>
      </c>
      <c r="I31" s="11">
        <f>23.75*12</f>
        <v>285</v>
      </c>
      <c r="J31" s="11">
        <f t="shared" si="11"/>
        <v>252</v>
      </c>
      <c r="K31" s="11">
        <v>269.91000000000003</v>
      </c>
      <c r="L31" s="11">
        <v>234</v>
      </c>
      <c r="M31" s="11">
        <v>169.44</v>
      </c>
      <c r="N31" s="11">
        <v>169.44</v>
      </c>
      <c r="O31" s="11">
        <v>372.36</v>
      </c>
      <c r="P31" s="11">
        <v>196.8</v>
      </c>
      <c r="Q31" s="11">
        <v>240</v>
      </c>
      <c r="R31" s="11">
        <v>223.8</v>
      </c>
      <c r="S31" s="11">
        <v>177.3</v>
      </c>
      <c r="T31" s="11">
        <v>169.4</v>
      </c>
      <c r="U31" s="11">
        <v>169</v>
      </c>
      <c r="V31" s="20"/>
    </row>
    <row r="32" spans="1:23" x14ac:dyDescent="0.25">
      <c r="A32" s="10">
        <v>2400</v>
      </c>
      <c r="B32" s="10">
        <v>2500</v>
      </c>
      <c r="C32" s="10" t="str">
        <f>IF(AND('Tarieven en Berekening'!$C$38&gt;=A32,'Tarieven en Berekening'!$C$38&lt;B32),"Ja","Nee")</f>
        <v>Ja</v>
      </c>
      <c r="D32" s="11">
        <f t="shared" si="10"/>
        <v>241.56</v>
      </c>
      <c r="E32" s="11">
        <v>308.76</v>
      </c>
      <c r="F32" s="11">
        <v>308.76</v>
      </c>
      <c r="G32" s="11">
        <v>241</v>
      </c>
      <c r="H32" s="11">
        <v>269.91000000000003</v>
      </c>
      <c r="I32" s="11">
        <f>23.75*12</f>
        <v>285</v>
      </c>
      <c r="J32" s="11">
        <f t="shared" si="11"/>
        <v>252</v>
      </c>
      <c r="K32" s="11">
        <v>269.91000000000003</v>
      </c>
      <c r="L32" s="11">
        <v>234</v>
      </c>
      <c r="M32" s="11">
        <v>169.44</v>
      </c>
      <c r="N32" s="11">
        <v>169.44</v>
      </c>
      <c r="O32" s="11">
        <v>372.36</v>
      </c>
      <c r="P32" s="11">
        <v>196.8</v>
      </c>
      <c r="Q32" s="11">
        <v>240</v>
      </c>
      <c r="R32" s="11">
        <v>223.8</v>
      </c>
      <c r="S32" s="11">
        <v>192.7</v>
      </c>
      <c r="T32" s="11">
        <v>169.4</v>
      </c>
      <c r="U32" s="11">
        <v>169</v>
      </c>
      <c r="V32" s="20"/>
    </row>
    <row r="33" spans="1:22" x14ac:dyDescent="0.25">
      <c r="A33" s="10">
        <v>2500</v>
      </c>
      <c r="B33" s="10">
        <v>2600</v>
      </c>
      <c r="C33" s="10" t="str">
        <f>IF(AND('Tarieven en Berekening'!$C$38&gt;=A33,'Tarieven en Berekening'!$C$38&lt;B33),"Ja","Nee")</f>
        <v>Nee</v>
      </c>
      <c r="D33" s="11">
        <f t="shared" si="10"/>
        <v>241.56</v>
      </c>
      <c r="E33" s="11">
        <v>341.28000000000003</v>
      </c>
      <c r="F33" s="11">
        <v>341.28000000000003</v>
      </c>
      <c r="G33" s="11">
        <v>267</v>
      </c>
      <c r="H33" s="11">
        <v>269.91000000000003</v>
      </c>
      <c r="I33" s="11"/>
      <c r="J33" s="11">
        <f t="shared" si="11"/>
        <v>252</v>
      </c>
      <c r="K33" s="11">
        <v>269.91000000000003</v>
      </c>
      <c r="L33" s="11">
        <v>234</v>
      </c>
      <c r="M33" s="11">
        <v>205.68</v>
      </c>
      <c r="N33" s="11">
        <v>205.68</v>
      </c>
      <c r="O33" s="11">
        <v>429.84000000000003</v>
      </c>
      <c r="P33" s="11">
        <v>223.2</v>
      </c>
      <c r="Q33" s="11">
        <v>275</v>
      </c>
      <c r="R33" s="11">
        <v>223.8</v>
      </c>
      <c r="S33" s="11">
        <v>192.7</v>
      </c>
      <c r="T33" s="11">
        <v>205.7</v>
      </c>
      <c r="U33" s="11">
        <v>206</v>
      </c>
      <c r="V33" s="20"/>
    </row>
    <row r="34" spans="1:22" x14ac:dyDescent="0.25">
      <c r="A34" s="10">
        <v>2600</v>
      </c>
      <c r="B34" s="10">
        <v>2750</v>
      </c>
      <c r="C34" s="10" t="str">
        <f>IF(AND('Tarieven en Berekening'!$C$38&gt;=A34,'Tarieven en Berekening'!$C$38&lt;B34),"Ja","Nee")</f>
        <v>Nee</v>
      </c>
      <c r="D34" s="11">
        <f t="shared" si="10"/>
        <v>241.56</v>
      </c>
      <c r="E34" s="11">
        <v>341.28000000000003</v>
      </c>
      <c r="F34" s="11">
        <v>341.28000000000003</v>
      </c>
      <c r="G34" s="11">
        <v>267</v>
      </c>
      <c r="H34" s="11">
        <v>269.91000000000003</v>
      </c>
      <c r="I34" s="11"/>
      <c r="J34" s="11">
        <f t="shared" si="11"/>
        <v>252</v>
      </c>
      <c r="K34" s="11">
        <v>269.91000000000003</v>
      </c>
      <c r="L34" s="11">
        <v>234</v>
      </c>
      <c r="M34" s="11">
        <v>205.68</v>
      </c>
      <c r="N34" s="11">
        <v>205.68</v>
      </c>
      <c r="O34" s="11">
        <v>429.84000000000003</v>
      </c>
      <c r="P34" s="11">
        <v>223.2</v>
      </c>
      <c r="Q34" s="11">
        <v>275</v>
      </c>
      <c r="R34" s="11">
        <v>223.8</v>
      </c>
      <c r="S34" s="11">
        <v>208.1</v>
      </c>
      <c r="T34" s="11">
        <v>205.7</v>
      </c>
      <c r="U34" s="11">
        <v>206</v>
      </c>
      <c r="V34" s="20"/>
    </row>
    <row r="35" spans="1:22" x14ac:dyDescent="0.25">
      <c r="A35" s="10">
        <v>2750</v>
      </c>
      <c r="B35" s="10">
        <v>2800</v>
      </c>
      <c r="C35" s="10" t="str">
        <f>IF(AND('Tarieven en Berekening'!$C$38&gt;=A35,'Tarieven en Berekening'!$C$38&lt;B35),"Ja","Nee")</f>
        <v>Nee</v>
      </c>
      <c r="D35" s="11">
        <f t="shared" si="10"/>
        <v>241.56</v>
      </c>
      <c r="E35" s="11">
        <v>373.79999999999995</v>
      </c>
      <c r="F35" s="11">
        <v>373.79999999999995</v>
      </c>
      <c r="G35" s="11">
        <v>292</v>
      </c>
      <c r="H35" s="11">
        <v>269.91000000000003</v>
      </c>
      <c r="I35" s="11"/>
      <c r="J35" s="11">
        <f t="shared" si="11"/>
        <v>252</v>
      </c>
      <c r="K35" s="11">
        <v>269.91000000000003</v>
      </c>
      <c r="L35" s="11">
        <v>234</v>
      </c>
      <c r="M35" s="11">
        <v>205.68</v>
      </c>
      <c r="N35" s="11">
        <v>205.68</v>
      </c>
      <c r="O35" s="11">
        <v>429.84000000000003</v>
      </c>
      <c r="P35" s="11">
        <v>252</v>
      </c>
      <c r="Q35" s="11">
        <v>310</v>
      </c>
      <c r="R35" s="11">
        <v>223.8</v>
      </c>
      <c r="S35" s="11">
        <v>208.1</v>
      </c>
      <c r="T35" s="11">
        <v>205.7</v>
      </c>
      <c r="U35" s="11">
        <v>206</v>
      </c>
      <c r="V35" s="20"/>
    </row>
    <row r="36" spans="1:22" x14ac:dyDescent="0.25">
      <c r="A36" s="10">
        <v>2800</v>
      </c>
      <c r="B36" s="10">
        <v>3000</v>
      </c>
      <c r="C36" s="10" t="str">
        <f>IF(AND('Tarieven en Berekening'!$C$38&gt;=A36,'Tarieven en Berekening'!$C$38&lt;B36),"Ja","Nee")</f>
        <v>Nee</v>
      </c>
      <c r="D36" s="11">
        <f t="shared" si="10"/>
        <v>241.56</v>
      </c>
      <c r="E36" s="11">
        <v>373.79999999999995</v>
      </c>
      <c r="F36" s="11">
        <v>373.79999999999995</v>
      </c>
      <c r="G36" s="11">
        <v>292</v>
      </c>
      <c r="H36" s="11">
        <v>269.91000000000003</v>
      </c>
      <c r="I36" s="11"/>
      <c r="J36" s="11">
        <f t="shared" si="11"/>
        <v>252</v>
      </c>
      <c r="K36" s="11">
        <v>269.91000000000003</v>
      </c>
      <c r="L36" s="11">
        <v>234</v>
      </c>
      <c r="M36" s="11">
        <v>205.68</v>
      </c>
      <c r="N36" s="11">
        <v>205.68</v>
      </c>
      <c r="O36" s="11">
        <v>429.84000000000003</v>
      </c>
      <c r="P36" s="11">
        <v>252</v>
      </c>
      <c r="Q36" s="11">
        <v>310</v>
      </c>
      <c r="R36" s="11">
        <v>223.8</v>
      </c>
      <c r="S36" s="11">
        <v>223.5</v>
      </c>
      <c r="T36" s="11">
        <v>205.7</v>
      </c>
      <c r="U36" s="11">
        <v>206</v>
      </c>
      <c r="V36" s="20"/>
    </row>
    <row r="37" spans="1:22" x14ac:dyDescent="0.25">
      <c r="A37" s="10">
        <v>3000</v>
      </c>
      <c r="B37" s="10">
        <v>3200</v>
      </c>
      <c r="C37" s="10" t="str">
        <f>IF(AND('Tarieven en Berekening'!$C$38&gt;=A37,'Tarieven en Berekening'!$C$38&lt;B37),"Ja","Nee")</f>
        <v>Nee</v>
      </c>
      <c r="D37" s="11">
        <v>361.35</v>
      </c>
      <c r="E37" s="11">
        <v>406.32</v>
      </c>
      <c r="F37" s="11">
        <v>406.32</v>
      </c>
      <c r="G37" s="11">
        <v>330</v>
      </c>
      <c r="H37" s="11">
        <v>439.9</v>
      </c>
      <c r="I37" s="11"/>
      <c r="J37" s="11">
        <f>29*12</f>
        <v>348</v>
      </c>
      <c r="K37" s="11">
        <v>439.9</v>
      </c>
      <c r="L37" s="11">
        <v>330</v>
      </c>
      <c r="M37" s="11">
        <v>242.04000000000002</v>
      </c>
      <c r="N37" s="11">
        <v>242.04000000000002</v>
      </c>
      <c r="O37" s="11">
        <v>487.32</v>
      </c>
      <c r="P37" s="11">
        <v>280.8</v>
      </c>
      <c r="Q37" s="11">
        <v>345</v>
      </c>
      <c r="R37" s="11">
        <v>310.68</v>
      </c>
      <c r="S37" s="11">
        <v>242</v>
      </c>
      <c r="T37" s="11">
        <v>242</v>
      </c>
      <c r="U37" s="11">
        <v>242</v>
      </c>
      <c r="V37" s="20"/>
    </row>
    <row r="38" spans="1:22" x14ac:dyDescent="0.25">
      <c r="A38" s="10">
        <v>3200</v>
      </c>
      <c r="B38" s="10">
        <v>3250</v>
      </c>
      <c r="C38" s="10" t="str">
        <f>IF(AND('Tarieven en Berekening'!$C$38&gt;=A38,'Tarieven en Berekening'!$C$38&lt;B38),"Ja","Nee")</f>
        <v>Nee</v>
      </c>
      <c r="D38" s="11">
        <v>361.35</v>
      </c>
      <c r="E38" s="11">
        <v>406.32</v>
      </c>
      <c r="F38" s="11">
        <v>406.32</v>
      </c>
      <c r="G38" s="11">
        <v>330</v>
      </c>
      <c r="H38" s="11">
        <v>439.9</v>
      </c>
      <c r="I38" s="11"/>
      <c r="J38" s="11">
        <f t="shared" ref="J38:J43" si="12">29*12</f>
        <v>348</v>
      </c>
      <c r="K38" s="11">
        <v>439.9</v>
      </c>
      <c r="L38" s="11">
        <v>330</v>
      </c>
      <c r="M38" s="11">
        <v>242.04000000000002</v>
      </c>
      <c r="N38" s="11">
        <v>242.04000000000002</v>
      </c>
      <c r="O38" s="11">
        <v>487.32</v>
      </c>
      <c r="P38" s="11">
        <v>280.8</v>
      </c>
      <c r="Q38" s="11">
        <v>345</v>
      </c>
      <c r="R38" s="11">
        <v>310.68</v>
      </c>
      <c r="S38" s="11">
        <v>242.8</v>
      </c>
      <c r="T38" s="11">
        <v>242</v>
      </c>
      <c r="U38" s="11">
        <v>242</v>
      </c>
      <c r="V38" s="20"/>
    </row>
    <row r="39" spans="1:22" x14ac:dyDescent="0.25">
      <c r="A39" s="10">
        <v>3250</v>
      </c>
      <c r="B39" s="10">
        <v>3300</v>
      </c>
      <c r="C39" s="10" t="str">
        <f>IF(AND('Tarieven en Berekening'!$C$38&gt;=A39,'Tarieven en Berekening'!$C$38&lt;B39),"Ja","Nee")</f>
        <v>Nee</v>
      </c>
      <c r="D39" s="11">
        <v>361.35</v>
      </c>
      <c r="E39" s="11">
        <v>438.84000000000003</v>
      </c>
      <c r="F39" s="11">
        <v>438.84000000000003</v>
      </c>
      <c r="G39" s="11">
        <v>330</v>
      </c>
      <c r="H39" s="11">
        <v>439.9</v>
      </c>
      <c r="I39" s="11"/>
      <c r="J39" s="11">
        <f t="shared" si="12"/>
        <v>348</v>
      </c>
      <c r="K39" s="11">
        <v>439.9</v>
      </c>
      <c r="L39" s="11">
        <v>330</v>
      </c>
      <c r="M39" s="11">
        <v>242.04000000000002</v>
      </c>
      <c r="N39" s="11">
        <v>242.04000000000002</v>
      </c>
      <c r="O39" s="11">
        <v>487.32</v>
      </c>
      <c r="P39" s="11">
        <v>309.60000000000002</v>
      </c>
      <c r="Q39" s="11">
        <v>370</v>
      </c>
      <c r="R39" s="11">
        <v>310.68</v>
      </c>
      <c r="S39" s="11">
        <v>242.8</v>
      </c>
      <c r="T39" s="11">
        <v>242</v>
      </c>
      <c r="U39" s="11">
        <v>242</v>
      </c>
      <c r="V39" s="20"/>
    </row>
    <row r="40" spans="1:22" x14ac:dyDescent="0.25">
      <c r="A40" s="10">
        <v>3300</v>
      </c>
      <c r="B40" s="10">
        <v>3500</v>
      </c>
      <c r="C40" s="10" t="str">
        <f>IF(AND('Tarieven en Berekening'!$C$38&gt;=A40,'Tarieven en Berekening'!$C$38&lt;B40),"Ja","Nee")</f>
        <v>Nee</v>
      </c>
      <c r="D40" s="11">
        <v>361.35</v>
      </c>
      <c r="E40" s="11">
        <v>438.84000000000003</v>
      </c>
      <c r="F40" s="11">
        <v>438.84000000000003</v>
      </c>
      <c r="G40" s="11">
        <v>330</v>
      </c>
      <c r="H40" s="11">
        <v>439.9</v>
      </c>
      <c r="I40" s="11"/>
      <c r="J40" s="11">
        <f t="shared" si="12"/>
        <v>348</v>
      </c>
      <c r="K40" s="11">
        <v>439.9</v>
      </c>
      <c r="L40" s="11">
        <v>330</v>
      </c>
      <c r="M40" s="11">
        <v>242.04000000000002</v>
      </c>
      <c r="N40" s="11">
        <v>242.04000000000002</v>
      </c>
      <c r="O40" s="11">
        <v>487.32</v>
      </c>
      <c r="P40" s="11">
        <v>309.60000000000002</v>
      </c>
      <c r="Q40" s="11">
        <v>370</v>
      </c>
      <c r="R40" s="11">
        <v>310.68</v>
      </c>
      <c r="S40" s="11">
        <v>265.89999999999998</v>
      </c>
      <c r="T40" s="11">
        <v>242</v>
      </c>
      <c r="U40" s="11">
        <v>242</v>
      </c>
      <c r="V40" s="20"/>
    </row>
    <row r="41" spans="1:22" x14ac:dyDescent="0.25">
      <c r="A41" s="10">
        <v>3500</v>
      </c>
      <c r="B41" s="10">
        <v>3600</v>
      </c>
      <c r="C41" s="10" t="str">
        <f>IF(AND('Tarieven en Berekening'!$C$38&gt;=A41,'Tarieven en Berekening'!$C$38&lt;B41),"Ja","Nee")</f>
        <v>Nee</v>
      </c>
      <c r="D41" s="11">
        <v>361.35</v>
      </c>
      <c r="E41" s="11">
        <v>471.36</v>
      </c>
      <c r="F41" s="11">
        <v>471.36</v>
      </c>
      <c r="G41" s="11">
        <v>361</v>
      </c>
      <c r="H41" s="11">
        <v>439.9</v>
      </c>
      <c r="I41" s="11"/>
      <c r="J41" s="11">
        <f t="shared" si="12"/>
        <v>348</v>
      </c>
      <c r="K41" s="11">
        <v>439.9</v>
      </c>
      <c r="L41" s="11">
        <v>330</v>
      </c>
      <c r="M41" s="11">
        <v>278.28000000000003</v>
      </c>
      <c r="N41" s="11">
        <v>278.28000000000003</v>
      </c>
      <c r="O41" s="11">
        <v>544.79999999999995</v>
      </c>
      <c r="P41" s="11">
        <v>340.8</v>
      </c>
      <c r="Q41" s="11">
        <v>410</v>
      </c>
      <c r="R41" s="11">
        <v>310.68</v>
      </c>
      <c r="S41" s="11">
        <v>265.89999999999998</v>
      </c>
      <c r="T41" s="11">
        <v>278.3</v>
      </c>
      <c r="U41" s="11">
        <v>278</v>
      </c>
      <c r="V41" s="20"/>
    </row>
    <row r="42" spans="1:22" x14ac:dyDescent="0.25">
      <c r="A42" s="10">
        <v>3600</v>
      </c>
      <c r="B42" s="10">
        <v>3750</v>
      </c>
      <c r="C42" s="10" t="str">
        <f>IF(AND('Tarieven en Berekening'!$C$38&gt;=A42,'Tarieven en Berekening'!$C$38&lt;B42),"Ja","Nee")</f>
        <v>Nee</v>
      </c>
      <c r="D42" s="11">
        <v>361.35</v>
      </c>
      <c r="E42" s="11">
        <v>471.36</v>
      </c>
      <c r="F42" s="11">
        <v>471.36</v>
      </c>
      <c r="G42" s="11">
        <v>361</v>
      </c>
      <c r="H42" s="11">
        <v>439.9</v>
      </c>
      <c r="I42" s="11"/>
      <c r="J42" s="11">
        <f t="shared" si="12"/>
        <v>348</v>
      </c>
      <c r="K42" s="11">
        <v>439.9</v>
      </c>
      <c r="L42" s="11">
        <v>330</v>
      </c>
      <c r="M42" s="11">
        <v>278.28000000000003</v>
      </c>
      <c r="N42" s="11">
        <v>278.28000000000003</v>
      </c>
      <c r="O42" s="11">
        <v>544.79999999999995</v>
      </c>
      <c r="P42" s="11">
        <v>340.8</v>
      </c>
      <c r="Q42" s="11">
        <v>410</v>
      </c>
      <c r="R42" s="11">
        <v>310.68</v>
      </c>
      <c r="S42" s="11">
        <v>292.89999999999998</v>
      </c>
      <c r="T42" s="11">
        <v>278.3</v>
      </c>
      <c r="U42" s="11">
        <v>278</v>
      </c>
      <c r="V42" s="20"/>
    </row>
    <row r="43" spans="1:22" x14ac:dyDescent="0.25">
      <c r="A43" s="10">
        <v>3750</v>
      </c>
      <c r="B43" s="10">
        <v>4000</v>
      </c>
      <c r="C43" s="10" t="str">
        <f>IF(AND('Tarieven en Berekening'!$C$38&gt;=A43,'Tarieven en Berekening'!$C$38&lt;B43),"Ja","Nee")</f>
        <v>Nee</v>
      </c>
      <c r="D43" s="11">
        <v>361.35</v>
      </c>
      <c r="E43" s="11">
        <v>503.76</v>
      </c>
      <c r="F43" s="11">
        <v>503.76</v>
      </c>
      <c r="G43" s="11">
        <v>361</v>
      </c>
      <c r="H43" s="11">
        <v>439.9</v>
      </c>
      <c r="I43" s="11"/>
      <c r="J43" s="11">
        <f t="shared" si="12"/>
        <v>348</v>
      </c>
      <c r="K43" s="11">
        <v>439.9</v>
      </c>
      <c r="L43" s="11">
        <v>330</v>
      </c>
      <c r="M43" s="11">
        <v>278.28000000000003</v>
      </c>
      <c r="N43" s="11">
        <v>278.28000000000003</v>
      </c>
      <c r="O43" s="11">
        <v>544.79999999999995</v>
      </c>
      <c r="P43" s="11">
        <v>372</v>
      </c>
      <c r="Q43" s="11">
        <v>410</v>
      </c>
      <c r="R43" s="11">
        <v>310.68</v>
      </c>
      <c r="S43" s="11">
        <v>292.89999999999998</v>
      </c>
      <c r="T43" s="11">
        <v>278.3</v>
      </c>
      <c r="U43" s="11">
        <v>278</v>
      </c>
      <c r="V43" s="20"/>
    </row>
    <row r="44" spans="1:22" x14ac:dyDescent="0.25">
      <c r="A44" s="10">
        <v>4000</v>
      </c>
      <c r="B44" s="10">
        <v>4250</v>
      </c>
      <c r="C44" s="10" t="str">
        <f>IF(AND('Tarieven en Berekening'!$C$38&gt;=A44,'Tarieven en Berekening'!$C$38&lt;B44),"Ja","Nee")</f>
        <v>Nee</v>
      </c>
      <c r="D44" s="11">
        <f>40.26*12</f>
        <v>483.12</v>
      </c>
      <c r="E44" s="11">
        <v>536.28</v>
      </c>
      <c r="F44" s="11">
        <v>536.28</v>
      </c>
      <c r="G44" s="11">
        <v>431</v>
      </c>
      <c r="H44" s="11">
        <v>624.88</v>
      </c>
      <c r="I44" s="11"/>
      <c r="J44" s="11">
        <f>37.5*12</f>
        <v>450</v>
      </c>
      <c r="K44" s="11">
        <v>624.88</v>
      </c>
      <c r="L44" s="11">
        <v>432</v>
      </c>
      <c r="M44" s="11">
        <v>314.64</v>
      </c>
      <c r="N44" s="11">
        <v>314.64</v>
      </c>
      <c r="O44" s="11">
        <v>602.40000000000009</v>
      </c>
      <c r="P44" s="11">
        <v>402</v>
      </c>
      <c r="Q44" s="11">
        <v>470</v>
      </c>
      <c r="R44" s="11">
        <v>407.28</v>
      </c>
      <c r="S44" s="11">
        <v>327.60000000000002</v>
      </c>
      <c r="T44" s="11">
        <v>314.60000000000002</v>
      </c>
      <c r="U44" s="11">
        <v>315</v>
      </c>
      <c r="V44" s="20"/>
    </row>
    <row r="45" spans="1:22" x14ac:dyDescent="0.25">
      <c r="A45" s="10">
        <v>4250</v>
      </c>
      <c r="B45" s="10">
        <v>4500</v>
      </c>
      <c r="C45" s="10" t="str">
        <f>IF(AND('Tarieven en Berekening'!$C$38&gt;=A45,'Tarieven en Berekening'!$C$38&lt;B45),"Ja","Nee")</f>
        <v>Nee</v>
      </c>
      <c r="D45" s="11">
        <f t="shared" ref="D45:D47" si="13">40.26*12</f>
        <v>483.12</v>
      </c>
      <c r="E45" s="11">
        <v>568.79999999999995</v>
      </c>
      <c r="F45" s="11">
        <v>568.79999999999995</v>
      </c>
      <c r="G45" s="11">
        <v>431</v>
      </c>
      <c r="H45" s="11">
        <v>624.88</v>
      </c>
      <c r="I45" s="11"/>
      <c r="J45" s="11">
        <f t="shared" ref="J45:J47" si="14">37.5*12</f>
        <v>450</v>
      </c>
      <c r="K45" s="11">
        <v>624.88</v>
      </c>
      <c r="L45" s="11">
        <v>432</v>
      </c>
      <c r="M45" s="11">
        <v>314.64</v>
      </c>
      <c r="N45" s="11">
        <v>314.64</v>
      </c>
      <c r="O45" s="11">
        <v>602.40000000000009</v>
      </c>
      <c r="P45" s="11">
        <v>433.2</v>
      </c>
      <c r="Q45" s="11">
        <v>470</v>
      </c>
      <c r="R45" s="11">
        <v>407.28</v>
      </c>
      <c r="S45" s="11">
        <v>327.60000000000002</v>
      </c>
      <c r="T45" s="11">
        <v>314.60000000000002</v>
      </c>
      <c r="U45" s="11">
        <v>315</v>
      </c>
      <c r="V45" s="20"/>
    </row>
    <row r="46" spans="1:22" x14ac:dyDescent="0.25">
      <c r="A46" s="10">
        <v>4500</v>
      </c>
      <c r="B46" s="10">
        <v>4750</v>
      </c>
      <c r="C46" s="10" t="str">
        <f>IF(AND('Tarieven en Berekening'!$C$38&gt;=A46,'Tarieven en Berekening'!$C$38&lt;B46),"Ja","Nee")</f>
        <v>Nee</v>
      </c>
      <c r="D46" s="11">
        <f t="shared" si="13"/>
        <v>483.12</v>
      </c>
      <c r="E46" s="11">
        <v>601.31999999999994</v>
      </c>
      <c r="F46" s="11">
        <v>601.31999999999994</v>
      </c>
      <c r="G46" s="11">
        <v>482</v>
      </c>
      <c r="H46" s="11">
        <v>624.88</v>
      </c>
      <c r="I46" s="11"/>
      <c r="J46" s="11">
        <f t="shared" si="14"/>
        <v>450</v>
      </c>
      <c r="K46" s="11">
        <v>624.88</v>
      </c>
      <c r="L46" s="11">
        <v>432</v>
      </c>
      <c r="M46" s="11">
        <v>350.88</v>
      </c>
      <c r="N46" s="11">
        <v>350.88</v>
      </c>
      <c r="O46" s="11">
        <v>659.88</v>
      </c>
      <c r="P46" s="11">
        <v>457.2</v>
      </c>
      <c r="Q46" s="11">
        <v>520</v>
      </c>
      <c r="R46" s="11">
        <v>407.28</v>
      </c>
      <c r="S46" s="11">
        <v>366.1</v>
      </c>
      <c r="T46" s="11">
        <v>350.9</v>
      </c>
      <c r="U46" s="11">
        <v>351</v>
      </c>
      <c r="V46" s="20"/>
    </row>
    <row r="47" spans="1:22" x14ac:dyDescent="0.25">
      <c r="A47" s="10">
        <v>4750</v>
      </c>
      <c r="B47" s="10">
        <v>5000</v>
      </c>
      <c r="C47" s="10" t="str">
        <f>IF(AND('Tarieven en Berekening'!$C$38&gt;=A47,'Tarieven en Berekening'!$C$38&lt;B47),"Ja","Nee")</f>
        <v>Nee</v>
      </c>
      <c r="D47" s="11">
        <f t="shared" si="13"/>
        <v>483.12</v>
      </c>
      <c r="E47" s="11">
        <v>633.84</v>
      </c>
      <c r="F47" s="11">
        <v>633.84</v>
      </c>
      <c r="G47" s="11">
        <v>482</v>
      </c>
      <c r="H47" s="11">
        <v>624.88</v>
      </c>
      <c r="I47" s="11"/>
      <c r="J47" s="11">
        <f t="shared" si="14"/>
        <v>450</v>
      </c>
      <c r="K47" s="11">
        <v>624.88</v>
      </c>
      <c r="L47" s="11">
        <v>432</v>
      </c>
      <c r="M47" s="11">
        <v>350.88</v>
      </c>
      <c r="N47" s="11">
        <v>350.88</v>
      </c>
      <c r="O47" s="11">
        <v>659.88</v>
      </c>
      <c r="P47" s="11">
        <v>478.8</v>
      </c>
      <c r="Q47" s="11">
        <v>520</v>
      </c>
      <c r="R47" s="11">
        <v>407.28</v>
      </c>
      <c r="S47" s="11">
        <v>366.1</v>
      </c>
      <c r="T47" s="11">
        <v>350.9</v>
      </c>
      <c r="U47" s="11">
        <v>251</v>
      </c>
      <c r="V47" s="20"/>
    </row>
    <row r="48" spans="1:22" x14ac:dyDescent="0.25">
      <c r="A48" s="10">
        <v>5000</v>
      </c>
      <c r="B48" s="10">
        <v>5250</v>
      </c>
      <c r="C48" s="10" t="str">
        <f>IF(AND('Tarieven en Berekening'!$C$38&gt;=A48,'Tarieven en Berekening'!$C$38&lt;B48),"Ja","Nee")</f>
        <v>Nee</v>
      </c>
      <c r="D48" s="11">
        <f>55.2*12</f>
        <v>662.40000000000009</v>
      </c>
      <c r="E48" s="11">
        <v>666.12</v>
      </c>
      <c r="F48" s="11">
        <v>666.12</v>
      </c>
      <c r="G48" s="11">
        <v>534</v>
      </c>
      <c r="H48" s="11">
        <v>1087.3499999999999</v>
      </c>
      <c r="I48" s="11"/>
      <c r="J48" s="11">
        <f>55*12</f>
        <v>660</v>
      </c>
      <c r="K48" s="11">
        <v>1087.3499999999999</v>
      </c>
      <c r="L48" s="11">
        <v>534</v>
      </c>
      <c r="M48" s="11">
        <v>387.12</v>
      </c>
      <c r="N48" s="11">
        <v>387.12</v>
      </c>
      <c r="O48" s="11">
        <v>1158.48</v>
      </c>
      <c r="P48" s="11">
        <v>500.4</v>
      </c>
      <c r="Q48" s="11">
        <v>605</v>
      </c>
      <c r="R48" s="11">
        <v>543.48</v>
      </c>
      <c r="S48" s="11">
        <v>423.9</v>
      </c>
      <c r="T48" s="11">
        <v>387.2</v>
      </c>
      <c r="U48" s="11">
        <v>387</v>
      </c>
      <c r="V48" s="20"/>
    </row>
    <row r="49" spans="1:22" x14ac:dyDescent="0.25">
      <c r="A49" s="10">
        <v>5250</v>
      </c>
      <c r="B49" s="10">
        <v>5500</v>
      </c>
      <c r="C49" s="10" t="str">
        <f>IF(AND('Tarieven en Berekening'!$C$38&gt;=A49,'Tarieven en Berekening'!$C$38&lt;B49),"Ja","Nee")</f>
        <v>Nee</v>
      </c>
      <c r="D49" s="11">
        <f t="shared" ref="D49:D57" si="15">55.2*12</f>
        <v>662.40000000000009</v>
      </c>
      <c r="E49" s="11">
        <v>698.76</v>
      </c>
      <c r="F49" s="11">
        <v>698.76</v>
      </c>
      <c r="G49" s="11">
        <v>534</v>
      </c>
      <c r="H49" s="11">
        <v>1087.3499999999999</v>
      </c>
      <c r="I49" s="11"/>
      <c r="J49" s="11">
        <f t="shared" ref="J49:J112" si="16">55*12</f>
        <v>660</v>
      </c>
      <c r="K49" s="11">
        <v>1087.3499999999999</v>
      </c>
      <c r="L49" s="11">
        <v>534</v>
      </c>
      <c r="M49" s="11">
        <v>387.12</v>
      </c>
      <c r="N49" s="11">
        <v>387.12</v>
      </c>
      <c r="O49" s="11">
        <v>1158.48</v>
      </c>
      <c r="P49" s="11">
        <v>520.79999999999995</v>
      </c>
      <c r="Q49" s="11">
        <v>605</v>
      </c>
      <c r="R49" s="11">
        <v>543.48</v>
      </c>
      <c r="S49" s="11">
        <v>423.9</v>
      </c>
      <c r="T49" s="11">
        <v>387.2</v>
      </c>
      <c r="U49" s="11">
        <v>387</v>
      </c>
      <c r="V49" s="20"/>
    </row>
    <row r="50" spans="1:22" x14ac:dyDescent="0.25">
      <c r="A50" s="10">
        <v>5500</v>
      </c>
      <c r="B50" s="10">
        <v>5750</v>
      </c>
      <c r="C50" s="10" t="str">
        <f>IF(AND('Tarieven en Berekening'!$C$38&gt;=A50,'Tarieven en Berekening'!$C$38&lt;B50),"Ja","Nee")</f>
        <v>Nee</v>
      </c>
      <c r="D50" s="11">
        <f t="shared" si="15"/>
        <v>662.40000000000009</v>
      </c>
      <c r="E50" s="11">
        <v>731.28</v>
      </c>
      <c r="F50" s="11">
        <v>731.28</v>
      </c>
      <c r="G50" s="11">
        <v>585</v>
      </c>
      <c r="H50" s="11">
        <v>1087.3499999999999</v>
      </c>
      <c r="I50" s="11"/>
      <c r="J50" s="11">
        <f t="shared" si="16"/>
        <v>660</v>
      </c>
      <c r="K50" s="11">
        <v>1087.3499999999999</v>
      </c>
      <c r="L50" s="11">
        <v>534</v>
      </c>
      <c r="M50" s="11">
        <v>423.36</v>
      </c>
      <c r="N50" s="11">
        <v>423.36</v>
      </c>
      <c r="O50" s="11">
        <v>1158.48</v>
      </c>
      <c r="P50" s="11">
        <v>542.4</v>
      </c>
      <c r="Q50" s="11">
        <v>605</v>
      </c>
      <c r="R50" s="11">
        <v>543.48</v>
      </c>
      <c r="S50" s="11">
        <v>423.9</v>
      </c>
      <c r="T50" s="11">
        <v>423.5</v>
      </c>
      <c r="U50" s="11">
        <v>424</v>
      </c>
      <c r="V50" s="20"/>
    </row>
    <row r="51" spans="1:22" x14ac:dyDescent="0.25">
      <c r="A51" s="10">
        <v>5750</v>
      </c>
      <c r="B51" s="10">
        <v>6000</v>
      </c>
      <c r="C51" s="10" t="str">
        <f>IF(AND('Tarieven en Berekening'!$C$38&gt;=A51,'Tarieven en Berekening'!$C$38&lt;B51),"Ja","Nee")</f>
        <v>Nee</v>
      </c>
      <c r="D51" s="11">
        <f t="shared" si="15"/>
        <v>662.40000000000009</v>
      </c>
      <c r="E51" s="11">
        <v>763.8</v>
      </c>
      <c r="F51" s="11">
        <v>763.8</v>
      </c>
      <c r="G51" s="11">
        <v>585</v>
      </c>
      <c r="H51" s="11">
        <v>1087.3499999999999</v>
      </c>
      <c r="I51" s="11"/>
      <c r="J51" s="11">
        <f t="shared" si="16"/>
        <v>660</v>
      </c>
      <c r="K51" s="11">
        <v>1087.3499999999999</v>
      </c>
      <c r="L51" s="11">
        <v>534</v>
      </c>
      <c r="M51" s="11">
        <v>423.36</v>
      </c>
      <c r="N51" s="11">
        <v>423.36</v>
      </c>
      <c r="O51" s="11">
        <v>1158.48</v>
      </c>
      <c r="P51" s="11">
        <v>562.79999999999995</v>
      </c>
      <c r="Q51" s="11">
        <v>605</v>
      </c>
      <c r="R51" s="11">
        <v>543.48</v>
      </c>
      <c r="S51" s="11">
        <v>423.9</v>
      </c>
      <c r="T51" s="11">
        <v>423.5</v>
      </c>
      <c r="U51" s="11">
        <v>424</v>
      </c>
      <c r="V51" s="20"/>
    </row>
    <row r="52" spans="1:22" x14ac:dyDescent="0.25">
      <c r="A52" s="10">
        <v>6000</v>
      </c>
      <c r="B52" s="10">
        <v>6250</v>
      </c>
      <c r="C52" s="10" t="str">
        <f>IF(AND('Tarieven en Berekening'!$C$38&gt;=A52,'Tarieven en Berekening'!$C$38&lt;B52),"Ja","Nee")</f>
        <v>Nee</v>
      </c>
      <c r="D52" s="11">
        <f t="shared" si="15"/>
        <v>662.40000000000009</v>
      </c>
      <c r="E52" s="11">
        <f>66.36*12</f>
        <v>796.31999999999994</v>
      </c>
      <c r="F52" s="11">
        <f>66.36*12</f>
        <v>796.31999999999994</v>
      </c>
      <c r="G52" s="11">
        <v>637</v>
      </c>
      <c r="H52" s="11">
        <v>1087.3499999999999</v>
      </c>
      <c r="I52" s="11"/>
      <c r="J52" s="11">
        <f t="shared" si="16"/>
        <v>660</v>
      </c>
      <c r="K52" s="11">
        <v>1087.3499999999999</v>
      </c>
      <c r="L52" s="11">
        <v>534</v>
      </c>
      <c r="M52" s="11">
        <v>459.6</v>
      </c>
      <c r="N52" s="11">
        <v>459.6</v>
      </c>
      <c r="O52" s="11">
        <v>1346.04</v>
      </c>
      <c r="P52" s="11">
        <v>584.4</v>
      </c>
      <c r="Q52" s="11">
        <v>715</v>
      </c>
      <c r="R52" s="11">
        <v>543.48</v>
      </c>
      <c r="S52" s="11">
        <v>520.29999999999995</v>
      </c>
      <c r="T52" s="11">
        <v>459.8</v>
      </c>
      <c r="U52" s="11">
        <v>460</v>
      </c>
      <c r="V52" s="20"/>
    </row>
    <row r="53" spans="1:22" x14ac:dyDescent="0.25">
      <c r="A53" s="10">
        <v>6250</v>
      </c>
      <c r="B53" s="10">
        <v>6500</v>
      </c>
      <c r="C53" s="10" t="str">
        <f>IF(AND('Tarieven en Berekening'!$C$38&gt;=A53,'Tarieven en Berekening'!$C$38&lt;B53),"Ja","Nee")</f>
        <v>Nee</v>
      </c>
      <c r="D53" s="11">
        <f t="shared" si="15"/>
        <v>662.40000000000009</v>
      </c>
      <c r="E53" s="11">
        <f>69.07*12</f>
        <v>828.83999999999992</v>
      </c>
      <c r="F53" s="11">
        <f>69.07*12</f>
        <v>828.83999999999992</v>
      </c>
      <c r="G53" s="11">
        <v>637</v>
      </c>
      <c r="H53" s="11">
        <v>1087.3499999999999</v>
      </c>
      <c r="I53" s="11"/>
      <c r="J53" s="11">
        <f t="shared" si="16"/>
        <v>660</v>
      </c>
      <c r="K53" s="11">
        <v>1087.3499999999999</v>
      </c>
      <c r="L53" s="11">
        <v>534</v>
      </c>
      <c r="M53" s="11">
        <v>459.6</v>
      </c>
      <c r="N53" s="11">
        <v>459.6</v>
      </c>
      <c r="O53" s="11">
        <v>1346.04</v>
      </c>
      <c r="P53" s="11">
        <v>606</v>
      </c>
      <c r="Q53" s="11">
        <v>715</v>
      </c>
      <c r="R53" s="11">
        <v>543.48</v>
      </c>
      <c r="S53" s="11">
        <v>520.29999999999995</v>
      </c>
      <c r="T53" s="11">
        <v>459.8</v>
      </c>
      <c r="U53" s="11">
        <v>470</v>
      </c>
      <c r="V53" s="20"/>
    </row>
    <row r="54" spans="1:22" x14ac:dyDescent="0.25">
      <c r="A54" s="10">
        <v>6500</v>
      </c>
      <c r="B54" s="10">
        <v>6750</v>
      </c>
      <c r="C54" s="10" t="str">
        <f>IF(AND('Tarieven en Berekening'!$C$38&gt;=A54,'Tarieven en Berekening'!$C$38&lt;B54),"Ja","Nee")</f>
        <v>Nee</v>
      </c>
      <c r="D54" s="11">
        <f t="shared" si="15"/>
        <v>662.40000000000009</v>
      </c>
      <c r="E54" s="11">
        <f>71.77*12</f>
        <v>861.24</v>
      </c>
      <c r="F54" s="11">
        <f>71.77*12</f>
        <v>861.24</v>
      </c>
      <c r="G54" s="11">
        <v>689</v>
      </c>
      <c r="H54" s="11">
        <v>1087.3499999999999</v>
      </c>
      <c r="I54" s="11"/>
      <c r="J54" s="11">
        <f t="shared" si="16"/>
        <v>660</v>
      </c>
      <c r="K54" s="11">
        <v>1087.3499999999999</v>
      </c>
      <c r="L54" s="11">
        <v>534</v>
      </c>
      <c r="M54" s="11">
        <v>495.84000000000003</v>
      </c>
      <c r="N54" s="11">
        <v>495.84000000000003</v>
      </c>
      <c r="O54" s="11">
        <v>1346.04</v>
      </c>
      <c r="P54" s="11">
        <v>637.20000000000005</v>
      </c>
      <c r="Q54" s="11">
        <v>715</v>
      </c>
      <c r="R54" s="11">
        <v>543.48</v>
      </c>
      <c r="S54" s="11">
        <v>520.29999999999995</v>
      </c>
      <c r="T54" s="11">
        <v>496.1</v>
      </c>
      <c r="U54" s="11">
        <v>496</v>
      </c>
    </row>
    <row r="55" spans="1:22" x14ac:dyDescent="0.25">
      <c r="A55" s="10">
        <v>6750</v>
      </c>
      <c r="B55" s="10">
        <v>7000</v>
      </c>
      <c r="C55" s="10" t="str">
        <f>IF(AND('Tarieven en Berekening'!$C$38&gt;=A55,'Tarieven en Berekening'!$C$38&lt;B55),"Ja","Nee")</f>
        <v>Nee</v>
      </c>
      <c r="D55" s="11">
        <f t="shared" si="15"/>
        <v>662.40000000000009</v>
      </c>
      <c r="E55" s="11">
        <f>74.48*12</f>
        <v>893.76</v>
      </c>
      <c r="F55" s="11">
        <f>74.48*12</f>
        <v>893.76</v>
      </c>
      <c r="G55" s="11">
        <v>689</v>
      </c>
      <c r="H55" s="11">
        <v>1087.3499999999999</v>
      </c>
      <c r="I55" s="11"/>
      <c r="J55" s="11">
        <f t="shared" si="16"/>
        <v>660</v>
      </c>
      <c r="K55" s="11">
        <v>1087.3499999999999</v>
      </c>
      <c r="L55" s="11">
        <v>534</v>
      </c>
      <c r="M55" s="11">
        <v>495.84000000000003</v>
      </c>
      <c r="N55" s="11">
        <v>495.84000000000003</v>
      </c>
      <c r="O55" s="11">
        <v>1346.04</v>
      </c>
      <c r="P55" s="11">
        <v>675.6</v>
      </c>
      <c r="Q55" s="11">
        <v>715</v>
      </c>
      <c r="R55" s="11">
        <v>543.48</v>
      </c>
      <c r="S55" s="11">
        <v>520.29999999999995</v>
      </c>
      <c r="T55" s="11">
        <v>496.1</v>
      </c>
      <c r="U55" s="11">
        <v>496</v>
      </c>
    </row>
    <row r="56" spans="1:22" x14ac:dyDescent="0.25">
      <c r="A56" s="10">
        <v>7000</v>
      </c>
      <c r="B56" s="10">
        <v>7250</v>
      </c>
      <c r="C56" s="10" t="str">
        <f>IF(AND('Tarieven en Berekening'!$C$38&gt;=A56,'Tarieven en Berekening'!$C$38&lt;B56),"Ja","Nee")</f>
        <v>Nee</v>
      </c>
      <c r="D56" s="11">
        <f t="shared" si="15"/>
        <v>662.40000000000009</v>
      </c>
      <c r="E56" s="11">
        <f>77.19*12</f>
        <v>926.28</v>
      </c>
      <c r="F56" s="11">
        <f>77.19*12</f>
        <v>926.28</v>
      </c>
      <c r="G56" s="11">
        <v>741</v>
      </c>
      <c r="H56" s="11">
        <v>1087.3499999999999</v>
      </c>
      <c r="I56" s="11"/>
      <c r="J56" s="11">
        <f t="shared" si="16"/>
        <v>660</v>
      </c>
      <c r="K56" s="11">
        <v>1087.3499999999999</v>
      </c>
      <c r="L56" s="11">
        <v>534</v>
      </c>
      <c r="M56" s="11">
        <v>532.08000000000004</v>
      </c>
      <c r="N56" s="11">
        <v>532.08000000000004</v>
      </c>
      <c r="O56" s="11">
        <v>1533.6</v>
      </c>
      <c r="P56" s="11">
        <v>714</v>
      </c>
      <c r="Q56" s="11">
        <v>825</v>
      </c>
      <c r="R56" s="11">
        <v>543.48</v>
      </c>
      <c r="S56" s="11">
        <v>520.29999999999995</v>
      </c>
      <c r="T56" s="11">
        <v>532.4</v>
      </c>
      <c r="U56" s="11">
        <v>532</v>
      </c>
    </row>
    <row r="57" spans="1:22" x14ac:dyDescent="0.25">
      <c r="A57" s="10">
        <v>7250</v>
      </c>
      <c r="B57" s="10">
        <v>7500</v>
      </c>
      <c r="C57" s="10" t="str">
        <f>IF(AND('Tarieven en Berekening'!$C$38&gt;=A57,'Tarieven en Berekening'!$C$38&lt;B57),"Ja","Nee")</f>
        <v>Nee</v>
      </c>
      <c r="D57" s="11">
        <f t="shared" si="15"/>
        <v>662.40000000000009</v>
      </c>
      <c r="E57" s="11">
        <f>79.9*12</f>
        <v>958.80000000000007</v>
      </c>
      <c r="F57" s="11">
        <f>79.9*12</f>
        <v>958.80000000000007</v>
      </c>
      <c r="G57" s="11">
        <v>741</v>
      </c>
      <c r="H57" s="11">
        <v>1087.3499999999999</v>
      </c>
      <c r="I57" s="11"/>
      <c r="J57" s="11">
        <f t="shared" si="16"/>
        <v>660</v>
      </c>
      <c r="K57" s="11">
        <v>1087.3499999999999</v>
      </c>
      <c r="L57" s="11">
        <v>534</v>
      </c>
      <c r="M57" s="11">
        <v>532.08000000000004</v>
      </c>
      <c r="N57" s="11">
        <v>532.08000000000004</v>
      </c>
      <c r="O57" s="11">
        <v>1533.6</v>
      </c>
      <c r="P57" s="11">
        <v>753.6</v>
      </c>
      <c r="Q57" s="11">
        <v>825</v>
      </c>
      <c r="R57" s="11">
        <v>543.48</v>
      </c>
      <c r="S57" s="11">
        <v>520.29999999999995</v>
      </c>
      <c r="T57" s="11">
        <v>532.4</v>
      </c>
      <c r="U57" s="11">
        <v>532</v>
      </c>
    </row>
    <row r="58" spans="1:22" x14ac:dyDescent="0.25">
      <c r="A58" s="10">
        <v>7500</v>
      </c>
      <c r="B58" s="10">
        <v>7750</v>
      </c>
      <c r="C58" s="10" t="str">
        <f>IF(AND('Tarieven en Berekening'!$C$38&gt;=A58,'Tarieven en Berekening'!$C$38&lt;B58),"Ja","Nee")</f>
        <v>Nee</v>
      </c>
      <c r="D58" s="11">
        <f>75.33*12</f>
        <v>903.96</v>
      </c>
      <c r="E58" s="11">
        <f>82.61*12</f>
        <v>991.31999999999994</v>
      </c>
      <c r="F58" s="11">
        <f>82.61*12</f>
        <v>991.31999999999994</v>
      </c>
      <c r="G58" s="11">
        <v>793</v>
      </c>
      <c r="H58" s="11">
        <v>1499.86</v>
      </c>
      <c r="I58" s="11"/>
      <c r="J58" s="11">
        <f t="shared" si="16"/>
        <v>660</v>
      </c>
      <c r="K58" s="11">
        <v>1499.86</v>
      </c>
      <c r="L58" s="11">
        <v>534</v>
      </c>
      <c r="M58" s="11">
        <v>350.88</v>
      </c>
      <c r="N58" s="11">
        <v>350.88</v>
      </c>
      <c r="O58" s="11">
        <v>1533.6</v>
      </c>
      <c r="P58" s="11">
        <v>792</v>
      </c>
      <c r="Q58" s="11">
        <v>825</v>
      </c>
      <c r="R58" s="11">
        <v>767.04</v>
      </c>
      <c r="S58" s="11">
        <v>674.5</v>
      </c>
      <c r="T58" s="11">
        <v>568.70000000000005</v>
      </c>
      <c r="U58" s="11">
        <v>569</v>
      </c>
    </row>
    <row r="59" spans="1:22" x14ac:dyDescent="0.25">
      <c r="A59" s="10">
        <v>7750</v>
      </c>
      <c r="B59" s="10">
        <v>8000</v>
      </c>
      <c r="C59" s="10" t="str">
        <f>IF(AND('Tarieven en Berekening'!$C$38&gt;=A59,'Tarieven en Berekening'!$C$38&lt;B59),"Ja","Nee")</f>
        <v>Nee</v>
      </c>
      <c r="D59" s="11">
        <f t="shared" ref="D59:D67" si="17">75.33*12</f>
        <v>903.96</v>
      </c>
      <c r="E59" s="11">
        <f>85.32*12</f>
        <v>1023.8399999999999</v>
      </c>
      <c r="F59" s="11">
        <f>85.32*12</f>
        <v>1023.8399999999999</v>
      </c>
      <c r="G59" s="11">
        <v>793</v>
      </c>
      <c r="H59" s="11">
        <v>1499.86</v>
      </c>
      <c r="I59" s="11"/>
      <c r="J59" s="11">
        <f t="shared" si="16"/>
        <v>660</v>
      </c>
      <c r="K59" s="11">
        <v>1499.86</v>
      </c>
      <c r="L59" s="11">
        <v>534</v>
      </c>
      <c r="M59" s="11">
        <v>350.88</v>
      </c>
      <c r="N59" s="11">
        <v>350.88</v>
      </c>
      <c r="O59" s="11">
        <v>1533.6</v>
      </c>
      <c r="P59" s="11">
        <v>830.4</v>
      </c>
      <c r="Q59" s="11">
        <v>825</v>
      </c>
      <c r="R59" s="11">
        <v>767.04</v>
      </c>
      <c r="S59" s="11">
        <v>674.5</v>
      </c>
      <c r="T59" s="11">
        <v>568.70000000000005</v>
      </c>
      <c r="U59" s="11">
        <v>569</v>
      </c>
    </row>
    <row r="60" spans="1:22" x14ac:dyDescent="0.25">
      <c r="A60" s="10">
        <v>8000</v>
      </c>
      <c r="B60" s="10">
        <v>8250</v>
      </c>
      <c r="C60" s="10" t="str">
        <f>IF(AND('Tarieven en Berekening'!$C$38&gt;=A60,'Tarieven en Berekening'!$C$38&lt;B60),"Ja","Nee")</f>
        <v>Nee</v>
      </c>
      <c r="D60" s="11">
        <f t="shared" si="17"/>
        <v>903.96</v>
      </c>
      <c r="E60" s="11">
        <f>88.02*12</f>
        <v>1056.24</v>
      </c>
      <c r="F60" s="11">
        <f>88.02*12</f>
        <v>1056.24</v>
      </c>
      <c r="G60" s="11">
        <v>845</v>
      </c>
      <c r="H60" s="11">
        <v>1499.86</v>
      </c>
      <c r="I60" s="11"/>
      <c r="J60" s="11">
        <f t="shared" si="16"/>
        <v>660</v>
      </c>
      <c r="K60" s="11">
        <v>1499.86</v>
      </c>
      <c r="L60" s="11">
        <v>534</v>
      </c>
      <c r="M60" s="11">
        <v>387.12</v>
      </c>
      <c r="N60" s="11">
        <v>387.12</v>
      </c>
      <c r="O60" s="11">
        <v>1721.28</v>
      </c>
      <c r="P60" s="11">
        <v>870</v>
      </c>
      <c r="Q60" s="11">
        <v>935</v>
      </c>
      <c r="R60" s="11">
        <v>767.04</v>
      </c>
      <c r="S60" s="11">
        <v>674.5</v>
      </c>
      <c r="T60" s="11">
        <v>605</v>
      </c>
      <c r="U60" s="11">
        <v>605</v>
      </c>
    </row>
    <row r="61" spans="1:22" x14ac:dyDescent="0.25">
      <c r="A61" s="10">
        <v>8250</v>
      </c>
      <c r="B61" s="10">
        <v>8500</v>
      </c>
      <c r="C61" s="10" t="str">
        <f>IF(AND('Tarieven en Berekening'!$C$38&gt;=A61,'Tarieven en Berekening'!$C$38&lt;B61),"Ja","Nee")</f>
        <v>Nee</v>
      </c>
      <c r="D61" s="11">
        <f t="shared" si="17"/>
        <v>903.96</v>
      </c>
      <c r="E61" s="11">
        <f>90.73*12</f>
        <v>1088.76</v>
      </c>
      <c r="F61" s="11">
        <f>90.73*12</f>
        <v>1088.76</v>
      </c>
      <c r="G61" s="11">
        <v>845</v>
      </c>
      <c r="H61" s="11">
        <v>1499.86</v>
      </c>
      <c r="I61" s="11"/>
      <c r="J61" s="11">
        <f t="shared" si="16"/>
        <v>660</v>
      </c>
      <c r="K61" s="11">
        <v>1499.86</v>
      </c>
      <c r="L61" s="11">
        <v>534</v>
      </c>
      <c r="M61" s="11">
        <v>387.12</v>
      </c>
      <c r="N61" s="11">
        <v>387.12</v>
      </c>
      <c r="O61" s="11">
        <v>1721.28</v>
      </c>
      <c r="P61" s="11">
        <v>908.4</v>
      </c>
      <c r="Q61" s="11">
        <v>935</v>
      </c>
      <c r="R61" s="11">
        <v>767.04</v>
      </c>
      <c r="S61" s="11">
        <v>674.5</v>
      </c>
      <c r="T61" s="11">
        <v>605</v>
      </c>
      <c r="U61" s="11">
        <v>605</v>
      </c>
    </row>
    <row r="62" spans="1:22" x14ac:dyDescent="0.25">
      <c r="A62" s="10">
        <v>8500</v>
      </c>
      <c r="B62" s="10">
        <v>8750</v>
      </c>
      <c r="C62" s="10" t="str">
        <f>IF(AND('Tarieven en Berekening'!$C$38&gt;=A62,'Tarieven en Berekening'!$C$38&lt;B62),"Ja","Nee")</f>
        <v>Nee</v>
      </c>
      <c r="D62" s="11">
        <f t="shared" si="17"/>
        <v>903.96</v>
      </c>
      <c r="E62" s="11">
        <f>93.44*12</f>
        <v>1121.28</v>
      </c>
      <c r="F62" s="11">
        <f>93.44*12</f>
        <v>1121.28</v>
      </c>
      <c r="G62" s="11">
        <v>897</v>
      </c>
      <c r="H62" s="11">
        <v>1499.86</v>
      </c>
      <c r="I62" s="11"/>
      <c r="J62" s="11">
        <f t="shared" si="16"/>
        <v>660</v>
      </c>
      <c r="K62" s="11">
        <v>1499.86</v>
      </c>
      <c r="L62" s="11">
        <v>534</v>
      </c>
      <c r="M62" s="11">
        <v>423.36</v>
      </c>
      <c r="N62" s="11">
        <v>423.36</v>
      </c>
      <c r="O62" s="11">
        <v>1721.28</v>
      </c>
      <c r="P62" s="11">
        <v>946.8</v>
      </c>
      <c r="Q62" s="11">
        <v>935</v>
      </c>
      <c r="R62" s="11">
        <v>767.04</v>
      </c>
      <c r="S62" s="11">
        <v>674.5</v>
      </c>
      <c r="T62" s="11">
        <v>641.29</v>
      </c>
      <c r="U62" s="11">
        <v>641</v>
      </c>
    </row>
    <row r="63" spans="1:22" x14ac:dyDescent="0.25">
      <c r="A63" s="10">
        <v>8750</v>
      </c>
      <c r="B63" s="10">
        <v>9000</v>
      </c>
      <c r="C63" s="10" t="str">
        <f>IF(AND('Tarieven en Berekening'!$C$38&gt;=A63,'Tarieven en Berekening'!$C$38&lt;B63),"Ja","Nee")</f>
        <v>Nee</v>
      </c>
      <c r="D63" s="11">
        <f t="shared" si="17"/>
        <v>903.96</v>
      </c>
      <c r="E63" s="11">
        <f>96.15*12</f>
        <v>1153.8000000000002</v>
      </c>
      <c r="F63" s="11">
        <f>96.15*12</f>
        <v>1153.8000000000002</v>
      </c>
      <c r="G63" s="11">
        <v>897</v>
      </c>
      <c r="H63" s="11">
        <v>1499.86</v>
      </c>
      <c r="I63" s="11"/>
      <c r="J63" s="11">
        <f t="shared" si="16"/>
        <v>660</v>
      </c>
      <c r="K63" s="11">
        <v>1499.86</v>
      </c>
      <c r="L63" s="11">
        <v>534</v>
      </c>
      <c r="M63" s="11">
        <v>423.36</v>
      </c>
      <c r="N63" s="11">
        <v>423.36</v>
      </c>
      <c r="O63" s="11">
        <v>1721.28</v>
      </c>
      <c r="P63" s="11">
        <v>986.4</v>
      </c>
      <c r="Q63" s="11">
        <v>935</v>
      </c>
      <c r="R63" s="11">
        <v>767.04</v>
      </c>
      <c r="S63" s="11">
        <v>674.5</v>
      </c>
      <c r="T63" s="11">
        <v>641.29</v>
      </c>
      <c r="U63" s="11">
        <v>641</v>
      </c>
    </row>
    <row r="64" spans="1:22" x14ac:dyDescent="0.25">
      <c r="A64" s="10">
        <v>9000</v>
      </c>
      <c r="B64" s="10">
        <v>9250</v>
      </c>
      <c r="C64" s="10" t="str">
        <f>IF(AND('Tarieven en Berekening'!$C$38&gt;=A64,'Tarieven en Berekening'!$C$38&lt;B64),"Ja","Nee")</f>
        <v>Nee</v>
      </c>
      <c r="D64" s="11">
        <f t="shared" si="17"/>
        <v>903.96</v>
      </c>
      <c r="E64" s="11">
        <f>98.86*12</f>
        <v>1186.32</v>
      </c>
      <c r="F64" s="11">
        <f>98.86*12</f>
        <v>1186.32</v>
      </c>
      <c r="G64" s="11">
        <v>949</v>
      </c>
      <c r="H64" s="11">
        <v>1499.86</v>
      </c>
      <c r="I64" s="11"/>
      <c r="J64" s="11">
        <f t="shared" si="16"/>
        <v>660</v>
      </c>
      <c r="K64" s="11">
        <v>1499.86</v>
      </c>
      <c r="L64" s="11">
        <v>534</v>
      </c>
      <c r="M64" s="11">
        <v>459.6</v>
      </c>
      <c r="N64" s="11">
        <v>459.6</v>
      </c>
      <c r="O64" s="11">
        <v>1908.84</v>
      </c>
      <c r="P64" s="11">
        <v>1024.8</v>
      </c>
      <c r="Q64" s="11">
        <v>1045</v>
      </c>
      <c r="R64" s="11">
        <v>767.04</v>
      </c>
      <c r="S64" s="11">
        <v>674.5</v>
      </c>
      <c r="T64" s="11">
        <v>677.59</v>
      </c>
      <c r="U64" s="11">
        <v>678</v>
      </c>
    </row>
    <row r="65" spans="1:21" x14ac:dyDescent="0.25">
      <c r="A65" s="10">
        <v>9250</v>
      </c>
      <c r="B65" s="10">
        <v>9500</v>
      </c>
      <c r="C65" s="10" t="str">
        <f>IF(AND('Tarieven en Berekening'!$C$38&gt;=A65,'Tarieven en Berekening'!$C$38&lt;B65),"Ja","Nee")</f>
        <v>Nee</v>
      </c>
      <c r="D65" s="11">
        <f t="shared" si="17"/>
        <v>903.96</v>
      </c>
      <c r="E65" s="11">
        <f>101.57*12</f>
        <v>1218.8399999999999</v>
      </c>
      <c r="F65" s="11">
        <f>101.57*12</f>
        <v>1218.8399999999999</v>
      </c>
      <c r="G65" s="11">
        <v>949</v>
      </c>
      <c r="H65" s="11">
        <v>1499.86</v>
      </c>
      <c r="I65" s="11"/>
      <c r="J65" s="11">
        <f t="shared" si="16"/>
        <v>660</v>
      </c>
      <c r="K65" s="11">
        <v>1499.86</v>
      </c>
      <c r="L65" s="11">
        <v>534</v>
      </c>
      <c r="M65" s="11">
        <v>459.6</v>
      </c>
      <c r="N65" s="11">
        <v>459.6</v>
      </c>
      <c r="O65" s="11">
        <v>1908.84</v>
      </c>
      <c r="P65" s="11">
        <v>1063.2</v>
      </c>
      <c r="Q65" s="11">
        <v>1045</v>
      </c>
      <c r="R65" s="11">
        <v>767.04</v>
      </c>
      <c r="S65" s="11">
        <v>674.5</v>
      </c>
      <c r="T65" s="11">
        <v>677.59</v>
      </c>
      <c r="U65" s="11">
        <v>678</v>
      </c>
    </row>
    <row r="66" spans="1:21" x14ac:dyDescent="0.25">
      <c r="A66" s="10">
        <v>9500</v>
      </c>
      <c r="B66" s="10">
        <v>9750</v>
      </c>
      <c r="C66" s="10" t="str">
        <f>IF(AND('Tarieven en Berekening'!$C$38&gt;=A66,'Tarieven en Berekening'!$C$38&lt;B66),"Ja","Nee")</f>
        <v>Nee</v>
      </c>
      <c r="D66" s="11">
        <f t="shared" si="17"/>
        <v>903.96</v>
      </c>
      <c r="E66" s="11">
        <f>104.27*12</f>
        <v>1251.24</v>
      </c>
      <c r="F66" s="11">
        <f>104.27*12</f>
        <v>1251.24</v>
      </c>
      <c r="G66" s="11">
        <v>990</v>
      </c>
      <c r="H66" s="11">
        <v>1499.86</v>
      </c>
      <c r="I66" s="11"/>
      <c r="J66" s="11">
        <f t="shared" si="16"/>
        <v>660</v>
      </c>
      <c r="K66" s="11">
        <v>1499.86</v>
      </c>
      <c r="L66" s="11">
        <v>534</v>
      </c>
      <c r="M66" s="11">
        <v>495.84000000000003</v>
      </c>
      <c r="N66" s="11">
        <v>495.84000000000003</v>
      </c>
      <c r="O66" s="11">
        <v>1908.84</v>
      </c>
      <c r="P66" s="11">
        <v>1101.5999999999999</v>
      </c>
      <c r="Q66" s="11">
        <v>1045</v>
      </c>
      <c r="R66" s="11">
        <v>767.04</v>
      </c>
      <c r="S66" s="11">
        <v>674.5</v>
      </c>
      <c r="T66" s="11">
        <v>713.89</v>
      </c>
      <c r="U66" s="11">
        <v>714</v>
      </c>
    </row>
    <row r="67" spans="1:21" x14ac:dyDescent="0.25">
      <c r="A67" s="10">
        <v>9750</v>
      </c>
      <c r="B67" s="10">
        <v>10000</v>
      </c>
      <c r="C67" s="10" t="str">
        <f>IF(AND('Tarieven en Berekening'!$C$38&gt;=A67,'Tarieven en Berekening'!$C$38&lt;B67),"Ja","Nee")</f>
        <v>Nee</v>
      </c>
      <c r="D67" s="11">
        <f t="shared" si="17"/>
        <v>903.96</v>
      </c>
      <c r="E67" s="11">
        <f>106.98*12</f>
        <v>1283.76</v>
      </c>
      <c r="F67" s="11">
        <f>106.98*12</f>
        <v>1283.76</v>
      </c>
      <c r="G67" s="11">
        <v>990</v>
      </c>
      <c r="H67" s="11">
        <v>1499.86</v>
      </c>
      <c r="I67" s="11"/>
      <c r="J67" s="11">
        <f t="shared" si="16"/>
        <v>660</v>
      </c>
      <c r="K67" s="11">
        <v>1499.86</v>
      </c>
      <c r="L67" s="11">
        <v>534</v>
      </c>
      <c r="M67" s="11">
        <v>495.84000000000003</v>
      </c>
      <c r="N67" s="11">
        <v>495.84000000000003</v>
      </c>
      <c r="O67" s="11">
        <v>1908.84</v>
      </c>
      <c r="P67" s="11">
        <v>1141.2</v>
      </c>
      <c r="Q67" s="11">
        <v>1045</v>
      </c>
      <c r="R67" s="11">
        <v>767.04</v>
      </c>
      <c r="S67" s="11">
        <v>674.5</v>
      </c>
      <c r="T67" s="11">
        <v>713.89</v>
      </c>
      <c r="U67" s="11">
        <v>714</v>
      </c>
    </row>
    <row r="68" spans="1:21" x14ac:dyDescent="0.25">
      <c r="A68" s="10">
        <v>10000</v>
      </c>
      <c r="B68" s="10">
        <v>10500</v>
      </c>
      <c r="C68" s="10" t="str">
        <f>IF(AND('Tarieven en Berekening'!$C$38&gt;=A68,'Tarieven en Berekening'!$C$38&lt;B68),"Ja","Nee")</f>
        <v>Nee</v>
      </c>
      <c r="D68" s="11">
        <f>90.28*12</f>
        <v>1083.3600000000001</v>
      </c>
      <c r="E68" s="11">
        <v>1332.48</v>
      </c>
      <c r="F68" s="11">
        <v>1332.48</v>
      </c>
      <c r="G68" s="11">
        <v>1067</v>
      </c>
      <c r="H68" s="11">
        <v>3200</v>
      </c>
      <c r="I68" s="11"/>
      <c r="J68" s="11">
        <f t="shared" si="16"/>
        <v>660</v>
      </c>
      <c r="K68" s="11">
        <v>3200</v>
      </c>
      <c r="L68" s="11">
        <v>534</v>
      </c>
      <c r="M68" s="11"/>
      <c r="N68" s="11"/>
      <c r="O68" s="11">
        <v>2265.36</v>
      </c>
      <c r="P68" s="11">
        <v>1237.2</v>
      </c>
      <c r="Q68" s="11">
        <v>1240</v>
      </c>
      <c r="R68" s="11">
        <v>1561.8</v>
      </c>
      <c r="S68" s="11">
        <v>867.1</v>
      </c>
      <c r="T68" s="11">
        <v>750.19</v>
      </c>
      <c r="U68" s="11">
        <v>750</v>
      </c>
    </row>
    <row r="69" spans="1:21" x14ac:dyDescent="0.25">
      <c r="A69" s="10">
        <v>10500</v>
      </c>
      <c r="B69" s="10">
        <v>11000</v>
      </c>
      <c r="C69" s="10" t="str">
        <f>IF(AND('Tarieven en Berekening'!$C$38&gt;=A69,'Tarieven en Berekening'!$C$38&lt;B69),"Ja","Nee")</f>
        <v>Nee</v>
      </c>
      <c r="D69" s="11">
        <f t="shared" ref="D69:D115" si="18">90.28*12</f>
        <v>1083.3600000000001</v>
      </c>
      <c r="E69" s="11">
        <v>1332.48</v>
      </c>
      <c r="F69" s="11">
        <v>1332.48</v>
      </c>
      <c r="G69" s="11">
        <v>1067</v>
      </c>
      <c r="H69" s="11">
        <v>3200</v>
      </c>
      <c r="I69" s="11"/>
      <c r="J69" s="11">
        <f t="shared" si="16"/>
        <v>660</v>
      </c>
      <c r="K69" s="11">
        <v>3200</v>
      </c>
      <c r="L69" s="11">
        <v>534</v>
      </c>
      <c r="M69" s="11"/>
      <c r="N69" s="11"/>
      <c r="O69" s="11">
        <v>2265.36</v>
      </c>
      <c r="P69" s="11">
        <v>1237.2</v>
      </c>
      <c r="Q69" s="11">
        <v>1240</v>
      </c>
      <c r="R69" s="11">
        <v>1561.8</v>
      </c>
      <c r="S69" s="11">
        <v>867.1</v>
      </c>
      <c r="T69" s="11">
        <v>786.49</v>
      </c>
      <c r="U69" s="11">
        <v>787</v>
      </c>
    </row>
    <row r="70" spans="1:21" x14ac:dyDescent="0.25">
      <c r="A70" s="10">
        <v>11000</v>
      </c>
      <c r="B70" s="10">
        <v>11500</v>
      </c>
      <c r="C70" s="10" t="str">
        <f>IF(AND('Tarieven en Berekening'!$C$38&gt;=A70,'Tarieven en Berekening'!$C$38&lt;B70),"Ja","Nee")</f>
        <v>Nee</v>
      </c>
      <c r="D70" s="11">
        <f t="shared" si="18"/>
        <v>1083.3600000000001</v>
      </c>
      <c r="E70" s="11">
        <v>1332.48</v>
      </c>
      <c r="F70" s="11">
        <v>1332.48</v>
      </c>
      <c r="G70" s="11">
        <v>1168</v>
      </c>
      <c r="H70" s="11">
        <v>3200</v>
      </c>
      <c r="I70" s="11"/>
      <c r="J70" s="11">
        <f t="shared" si="16"/>
        <v>660</v>
      </c>
      <c r="K70" s="11">
        <v>3200</v>
      </c>
      <c r="L70" s="11">
        <v>534</v>
      </c>
      <c r="M70" s="11"/>
      <c r="N70" s="11"/>
      <c r="O70" s="11">
        <v>2265.36</v>
      </c>
      <c r="P70" s="11">
        <v>1393.2</v>
      </c>
      <c r="Q70" s="11">
        <v>1240</v>
      </c>
      <c r="R70" s="11">
        <v>1561.8</v>
      </c>
      <c r="S70" s="11">
        <v>867.1</v>
      </c>
      <c r="T70" s="11">
        <v>822.79</v>
      </c>
      <c r="U70" s="11">
        <v>823</v>
      </c>
    </row>
    <row r="71" spans="1:21" x14ac:dyDescent="0.25">
      <c r="A71" s="10">
        <v>11500</v>
      </c>
      <c r="B71" s="10">
        <v>12000</v>
      </c>
      <c r="C71" s="10" t="str">
        <f>IF(AND('Tarieven en Berekening'!$C$38&gt;=A71,'Tarieven en Berekening'!$C$38&lt;B71),"Ja","Nee")</f>
        <v>Nee</v>
      </c>
      <c r="D71" s="11">
        <f t="shared" si="18"/>
        <v>1083.3600000000001</v>
      </c>
      <c r="E71" s="11">
        <v>1332.48</v>
      </c>
      <c r="F71" s="11">
        <v>1332.48</v>
      </c>
      <c r="G71" s="11">
        <v>1168</v>
      </c>
      <c r="H71" s="11">
        <v>3200</v>
      </c>
      <c r="I71" s="11"/>
      <c r="J71" s="11">
        <f t="shared" si="16"/>
        <v>660</v>
      </c>
      <c r="K71" s="11">
        <v>3200</v>
      </c>
      <c r="L71" s="11">
        <v>534</v>
      </c>
      <c r="M71" s="11"/>
      <c r="N71" s="11"/>
      <c r="O71" s="11">
        <v>2265.36</v>
      </c>
      <c r="P71" s="11">
        <v>1393.2</v>
      </c>
      <c r="Q71" s="11">
        <v>1240</v>
      </c>
      <c r="R71" s="11">
        <v>1561.8</v>
      </c>
      <c r="S71" s="11">
        <v>867.1</v>
      </c>
      <c r="T71" s="11">
        <v>859.09</v>
      </c>
      <c r="U71" s="11">
        <v>859</v>
      </c>
    </row>
    <row r="72" spans="1:21" x14ac:dyDescent="0.25">
      <c r="A72" s="10">
        <v>12000</v>
      </c>
      <c r="B72" s="10">
        <v>12500</v>
      </c>
      <c r="C72" s="10" t="str">
        <f>IF(AND('Tarieven en Berekening'!$C$38&gt;=A72,'Tarieven en Berekening'!$C$38&lt;B72),"Ja","Nee")</f>
        <v>Nee</v>
      </c>
      <c r="D72" s="11">
        <f t="shared" si="18"/>
        <v>1083.3600000000001</v>
      </c>
      <c r="E72" s="11">
        <v>1332.48</v>
      </c>
      <c r="F72" s="11">
        <v>1332.48</v>
      </c>
      <c r="G72" s="11">
        <v>1270</v>
      </c>
      <c r="H72" s="11">
        <v>3200</v>
      </c>
      <c r="I72" s="11"/>
      <c r="J72" s="11">
        <f t="shared" si="16"/>
        <v>660</v>
      </c>
      <c r="K72" s="11">
        <v>3200</v>
      </c>
      <c r="L72" s="11">
        <v>534</v>
      </c>
      <c r="M72" s="11"/>
      <c r="N72" s="11"/>
      <c r="O72" s="11">
        <v>2265.36</v>
      </c>
      <c r="P72" s="11">
        <v>1519.2</v>
      </c>
      <c r="Q72" s="11">
        <v>1240</v>
      </c>
      <c r="R72" s="11">
        <v>1561.8</v>
      </c>
      <c r="S72" s="11">
        <v>867.1</v>
      </c>
      <c r="T72" s="11">
        <v>895.39</v>
      </c>
      <c r="U72" s="11">
        <v>895</v>
      </c>
    </row>
    <row r="73" spans="1:21" x14ac:dyDescent="0.25">
      <c r="A73" s="10">
        <v>12500</v>
      </c>
      <c r="B73" s="10">
        <v>13000</v>
      </c>
      <c r="C73" s="10" t="str">
        <f>IF(AND('Tarieven en Berekening'!$C$38&gt;=A73,'Tarieven en Berekening'!$C$38&lt;B73),"Ja","Nee")</f>
        <v>Nee</v>
      </c>
      <c r="D73" s="11">
        <f t="shared" si="18"/>
        <v>1083.3600000000001</v>
      </c>
      <c r="E73" s="11">
        <v>1332.48</v>
      </c>
      <c r="F73" s="11">
        <v>1332.48</v>
      </c>
      <c r="G73" s="11">
        <v>1270</v>
      </c>
      <c r="H73" s="11">
        <v>3200</v>
      </c>
      <c r="I73" s="11"/>
      <c r="J73" s="11">
        <f t="shared" si="16"/>
        <v>660</v>
      </c>
      <c r="K73" s="11">
        <v>3200</v>
      </c>
      <c r="L73" s="11">
        <v>534</v>
      </c>
      <c r="M73" s="11"/>
      <c r="N73" s="11"/>
      <c r="O73" s="11">
        <v>2734.32</v>
      </c>
      <c r="P73" s="11">
        <v>1519.2</v>
      </c>
      <c r="Q73" s="11">
        <v>1510</v>
      </c>
      <c r="R73" s="11">
        <v>1561.8</v>
      </c>
      <c r="S73" s="11">
        <v>1059.8</v>
      </c>
      <c r="T73" s="11">
        <v>931.69</v>
      </c>
      <c r="U73" s="11">
        <v>932</v>
      </c>
    </row>
    <row r="74" spans="1:21" x14ac:dyDescent="0.25">
      <c r="A74" s="10">
        <v>13000</v>
      </c>
      <c r="B74" s="10">
        <v>13500</v>
      </c>
      <c r="C74" s="10" t="str">
        <f>IF(AND('Tarieven en Berekening'!$C$38&gt;=A74,'Tarieven en Berekening'!$C$38&lt;B74),"Ja","Nee")</f>
        <v>Nee</v>
      </c>
      <c r="D74" s="11">
        <f t="shared" si="18"/>
        <v>1083.3600000000001</v>
      </c>
      <c r="E74" s="11">
        <v>1332.48</v>
      </c>
      <c r="F74" s="11">
        <v>1332.48</v>
      </c>
      <c r="G74" s="11">
        <v>1373</v>
      </c>
      <c r="H74" s="11">
        <v>3200</v>
      </c>
      <c r="I74" s="11"/>
      <c r="J74" s="11">
        <f t="shared" si="16"/>
        <v>660</v>
      </c>
      <c r="K74" s="11">
        <v>3200</v>
      </c>
      <c r="L74" s="11">
        <v>534</v>
      </c>
      <c r="M74" s="11"/>
      <c r="N74" s="11"/>
      <c r="O74" s="11">
        <v>2734.32</v>
      </c>
      <c r="P74" s="11">
        <v>1620</v>
      </c>
      <c r="Q74" s="11">
        <v>1510</v>
      </c>
      <c r="R74" s="11">
        <v>1561.8</v>
      </c>
      <c r="S74" s="11">
        <v>1059.8</v>
      </c>
      <c r="T74" s="11">
        <v>967.99</v>
      </c>
      <c r="U74" s="11">
        <v>968</v>
      </c>
    </row>
    <row r="75" spans="1:21" x14ac:dyDescent="0.25">
      <c r="A75" s="10">
        <v>13500</v>
      </c>
      <c r="B75" s="10">
        <v>14000</v>
      </c>
      <c r="C75" s="10" t="str">
        <f>IF(AND('Tarieven en Berekening'!$C$38&gt;=A75,'Tarieven en Berekening'!$C$38&lt;B75),"Ja","Nee")</f>
        <v>Nee</v>
      </c>
      <c r="D75" s="11">
        <f t="shared" si="18"/>
        <v>1083.3600000000001</v>
      </c>
      <c r="E75" s="11">
        <v>1332.48</v>
      </c>
      <c r="F75" s="11">
        <v>1332.48</v>
      </c>
      <c r="G75" s="11">
        <v>1373</v>
      </c>
      <c r="H75" s="11">
        <v>3200</v>
      </c>
      <c r="I75" s="11"/>
      <c r="J75" s="11">
        <f t="shared" si="16"/>
        <v>660</v>
      </c>
      <c r="K75" s="11">
        <v>3200</v>
      </c>
      <c r="L75" s="11">
        <v>534</v>
      </c>
      <c r="M75" s="11"/>
      <c r="N75" s="11"/>
      <c r="O75" s="11">
        <v>2734.32</v>
      </c>
      <c r="P75" s="11">
        <v>1620</v>
      </c>
      <c r="Q75" s="11">
        <v>1510</v>
      </c>
      <c r="R75" s="11">
        <v>1561.8</v>
      </c>
      <c r="S75" s="11">
        <v>1059.8</v>
      </c>
      <c r="T75" s="11">
        <v>1004.29</v>
      </c>
      <c r="U75" s="11">
        <v>1004</v>
      </c>
    </row>
    <row r="76" spans="1:21" x14ac:dyDescent="0.25">
      <c r="A76" s="10">
        <v>14000</v>
      </c>
      <c r="B76" s="10">
        <v>14500</v>
      </c>
      <c r="C76" s="10" t="str">
        <f>IF(AND('Tarieven en Berekening'!$C$38&gt;=A76,'Tarieven en Berekening'!$C$38&lt;B76),"Ja","Nee")</f>
        <v>Nee</v>
      </c>
      <c r="D76" s="11">
        <f t="shared" si="18"/>
        <v>1083.3600000000001</v>
      </c>
      <c r="E76" s="11">
        <v>1332.48</v>
      </c>
      <c r="F76" s="11">
        <v>1332.48</v>
      </c>
      <c r="G76" s="11">
        <v>1474</v>
      </c>
      <c r="H76" s="11">
        <v>3200</v>
      </c>
      <c r="I76" s="11"/>
      <c r="J76" s="11">
        <f t="shared" si="16"/>
        <v>660</v>
      </c>
      <c r="K76" s="11">
        <v>3200</v>
      </c>
      <c r="L76" s="11">
        <v>534</v>
      </c>
      <c r="M76" s="11"/>
      <c r="N76" s="11"/>
      <c r="O76" s="11">
        <v>2734.32</v>
      </c>
      <c r="P76" s="11">
        <v>1720.8</v>
      </c>
      <c r="Q76" s="11">
        <v>1510</v>
      </c>
      <c r="R76" s="11">
        <v>1561.8</v>
      </c>
      <c r="S76" s="11">
        <v>1059.8</v>
      </c>
      <c r="T76" s="11">
        <v>1040.5899999999999</v>
      </c>
      <c r="U76" s="11">
        <v>1041</v>
      </c>
    </row>
    <row r="77" spans="1:21" x14ac:dyDescent="0.25">
      <c r="A77" s="10">
        <v>14500</v>
      </c>
      <c r="B77" s="10">
        <v>15000</v>
      </c>
      <c r="C77" s="10" t="str">
        <f>IF(AND('Tarieven en Berekening'!$C$38&gt;=A77,'Tarieven en Berekening'!$C$38&lt;B77),"Ja","Nee")</f>
        <v>Nee</v>
      </c>
      <c r="D77" s="11">
        <f t="shared" si="18"/>
        <v>1083.3600000000001</v>
      </c>
      <c r="E77" s="11">
        <v>1332.48</v>
      </c>
      <c r="F77" s="11">
        <v>1332.48</v>
      </c>
      <c r="G77" s="11">
        <v>1474</v>
      </c>
      <c r="H77" s="11">
        <v>3200</v>
      </c>
      <c r="I77" s="11"/>
      <c r="J77" s="11">
        <f t="shared" si="16"/>
        <v>660</v>
      </c>
      <c r="K77" s="11">
        <v>3200</v>
      </c>
      <c r="L77" s="11">
        <v>534</v>
      </c>
      <c r="M77" s="11"/>
      <c r="N77" s="11"/>
      <c r="O77" s="11">
        <v>2734.32</v>
      </c>
      <c r="P77" s="11">
        <v>1720.8</v>
      </c>
      <c r="Q77" s="11">
        <v>1510</v>
      </c>
      <c r="R77" s="11">
        <v>1561.8</v>
      </c>
      <c r="S77" s="11">
        <v>1059.8</v>
      </c>
      <c r="T77" s="11">
        <v>1076.8900000000001</v>
      </c>
      <c r="U77" s="11">
        <v>1077</v>
      </c>
    </row>
    <row r="78" spans="1:21" x14ac:dyDescent="0.25">
      <c r="A78" s="10">
        <v>15000</v>
      </c>
      <c r="B78" s="10">
        <v>15500</v>
      </c>
      <c r="C78" s="10" t="str">
        <f>IF(AND('Tarieven en Berekening'!$C$38&gt;=A78,'Tarieven en Berekening'!$C$38&lt;B78),"Ja","Nee")</f>
        <v>Nee</v>
      </c>
      <c r="D78" s="11">
        <f t="shared" si="18"/>
        <v>1083.3600000000001</v>
      </c>
      <c r="E78" s="11">
        <v>1332.48</v>
      </c>
      <c r="F78" s="11">
        <v>1332.48</v>
      </c>
      <c r="G78" s="11">
        <v>1575</v>
      </c>
      <c r="H78" s="11">
        <v>3200</v>
      </c>
      <c r="I78" s="11"/>
      <c r="J78" s="11">
        <f t="shared" si="16"/>
        <v>660</v>
      </c>
      <c r="K78" s="11">
        <v>3200</v>
      </c>
      <c r="L78" s="11">
        <v>534</v>
      </c>
      <c r="M78" s="11"/>
      <c r="N78" s="11"/>
      <c r="O78" s="11">
        <v>5736.12</v>
      </c>
      <c r="P78" s="11">
        <v>1821.6</v>
      </c>
      <c r="Q78" s="11">
        <v>1790</v>
      </c>
      <c r="R78" s="11">
        <v>1561.8</v>
      </c>
      <c r="S78" s="11">
        <v>1348.9</v>
      </c>
      <c r="T78" s="11">
        <v>1113.19</v>
      </c>
      <c r="U78" s="11">
        <v>1113</v>
      </c>
    </row>
    <row r="79" spans="1:21" x14ac:dyDescent="0.25">
      <c r="A79" s="10">
        <v>15500</v>
      </c>
      <c r="B79" s="10">
        <v>16000</v>
      </c>
      <c r="C79" s="10" t="str">
        <f>IF(AND('Tarieven en Berekening'!$C$38&gt;=A79,'Tarieven en Berekening'!$C$38&lt;B79),"Ja","Nee")</f>
        <v>Nee</v>
      </c>
      <c r="D79" s="11">
        <f t="shared" si="18"/>
        <v>1083.3600000000001</v>
      </c>
      <c r="E79" s="11">
        <v>1332.48</v>
      </c>
      <c r="F79" s="11">
        <v>1332.48</v>
      </c>
      <c r="G79" s="11">
        <v>1575</v>
      </c>
      <c r="H79" s="11">
        <v>3200</v>
      </c>
      <c r="I79" s="11"/>
      <c r="J79" s="11">
        <f t="shared" si="16"/>
        <v>660</v>
      </c>
      <c r="K79" s="11">
        <v>3200</v>
      </c>
      <c r="L79" s="11">
        <v>534</v>
      </c>
      <c r="M79" s="11"/>
      <c r="N79" s="11"/>
      <c r="O79" s="11">
        <v>5736.12</v>
      </c>
      <c r="P79" s="11">
        <v>1821.6</v>
      </c>
      <c r="Q79" s="11">
        <v>1790</v>
      </c>
      <c r="R79" s="11">
        <v>1561.8</v>
      </c>
      <c r="S79" s="11">
        <v>1348.9</v>
      </c>
      <c r="T79" s="11">
        <v>1149.49</v>
      </c>
      <c r="U79" s="11">
        <v>1150</v>
      </c>
    </row>
    <row r="80" spans="1:21" x14ac:dyDescent="0.25">
      <c r="A80" s="10">
        <v>16000</v>
      </c>
      <c r="B80" s="10">
        <v>16500</v>
      </c>
      <c r="C80" s="10" t="str">
        <f>IF(AND('Tarieven en Berekening'!$C$38&gt;=A80,'Tarieven en Berekening'!$C$38&lt;B80),"Ja","Nee")</f>
        <v>Nee</v>
      </c>
      <c r="D80" s="11">
        <f t="shared" si="18"/>
        <v>1083.3600000000001</v>
      </c>
      <c r="E80" s="11">
        <v>1332.48</v>
      </c>
      <c r="F80" s="11">
        <v>1332.48</v>
      </c>
      <c r="G80" s="11">
        <v>1677</v>
      </c>
      <c r="H80" s="11">
        <v>3200</v>
      </c>
      <c r="I80" s="11"/>
      <c r="J80" s="11">
        <f t="shared" si="16"/>
        <v>660</v>
      </c>
      <c r="K80" s="11">
        <v>3200</v>
      </c>
      <c r="L80" s="11">
        <v>534</v>
      </c>
      <c r="M80" s="11"/>
      <c r="N80" s="11"/>
      <c r="O80" s="11">
        <v>5736.12</v>
      </c>
      <c r="P80" s="11">
        <v>1922.4</v>
      </c>
      <c r="Q80" s="11">
        <v>1790</v>
      </c>
      <c r="R80" s="11">
        <v>1561.8</v>
      </c>
      <c r="S80" s="11">
        <v>1348.9</v>
      </c>
      <c r="T80" s="11">
        <v>1185.79</v>
      </c>
      <c r="U80" s="11">
        <v>1186</v>
      </c>
    </row>
    <row r="81" spans="1:21" x14ac:dyDescent="0.25">
      <c r="A81" s="10">
        <v>16500</v>
      </c>
      <c r="B81" s="10">
        <v>17000</v>
      </c>
      <c r="C81" s="10" t="str">
        <f>IF(AND('Tarieven en Berekening'!$C$38&gt;=A81,'Tarieven en Berekening'!$C$38&lt;B81),"Ja","Nee")</f>
        <v>Nee</v>
      </c>
      <c r="D81" s="11">
        <f t="shared" si="18"/>
        <v>1083.3600000000001</v>
      </c>
      <c r="E81" s="11">
        <v>1332.48</v>
      </c>
      <c r="F81" s="11">
        <v>1332.48</v>
      </c>
      <c r="G81" s="11">
        <v>1677</v>
      </c>
      <c r="H81" s="11">
        <v>3200</v>
      </c>
      <c r="I81" s="11"/>
      <c r="J81" s="11">
        <f t="shared" si="16"/>
        <v>660</v>
      </c>
      <c r="K81" s="11">
        <v>3200</v>
      </c>
      <c r="L81" s="11">
        <v>534</v>
      </c>
      <c r="M81" s="11"/>
      <c r="N81" s="11"/>
      <c r="O81" s="11">
        <v>5736.12</v>
      </c>
      <c r="P81" s="11">
        <v>1922.4</v>
      </c>
      <c r="Q81" s="11">
        <v>1790</v>
      </c>
      <c r="R81" s="11">
        <v>1561.8</v>
      </c>
      <c r="S81" s="11">
        <v>1348.9</v>
      </c>
      <c r="T81" s="11">
        <v>1222.0899999999999</v>
      </c>
      <c r="U81" s="11">
        <v>1222</v>
      </c>
    </row>
    <row r="82" spans="1:21" x14ac:dyDescent="0.25">
      <c r="A82" s="10">
        <v>17000</v>
      </c>
      <c r="B82" s="10">
        <v>17500</v>
      </c>
      <c r="C82" s="10" t="str">
        <f>IF(AND('Tarieven en Berekening'!$C$38&gt;=A82,'Tarieven en Berekening'!$C$38&lt;B82),"Ja","Nee")</f>
        <v>Nee</v>
      </c>
      <c r="D82" s="11">
        <f t="shared" si="18"/>
        <v>1083.3600000000001</v>
      </c>
      <c r="E82" s="11">
        <v>1332.48</v>
      </c>
      <c r="F82" s="11">
        <v>1332.48</v>
      </c>
      <c r="G82" s="11">
        <v>1778</v>
      </c>
      <c r="H82" s="11">
        <v>3200</v>
      </c>
      <c r="I82" s="11"/>
      <c r="J82" s="11">
        <f t="shared" si="16"/>
        <v>660</v>
      </c>
      <c r="K82" s="11">
        <v>3200</v>
      </c>
      <c r="L82" s="11">
        <v>534</v>
      </c>
      <c r="M82" s="11"/>
      <c r="N82" s="11"/>
      <c r="O82" s="11">
        <v>5736.12</v>
      </c>
      <c r="P82" s="11">
        <v>2023.2</v>
      </c>
      <c r="Q82" s="11">
        <v>1790</v>
      </c>
      <c r="R82" s="11">
        <v>1561.8</v>
      </c>
      <c r="S82" s="11">
        <v>1348.9</v>
      </c>
      <c r="T82" s="11">
        <v>1258.3900000000001</v>
      </c>
      <c r="U82" s="11">
        <v>1258</v>
      </c>
    </row>
    <row r="83" spans="1:21" x14ac:dyDescent="0.25">
      <c r="A83" s="10">
        <v>17500</v>
      </c>
      <c r="B83" s="10">
        <v>18000</v>
      </c>
      <c r="C83" s="10" t="str">
        <f>IF(AND('Tarieven en Berekening'!$C$38&gt;=A83,'Tarieven en Berekening'!$C$38&lt;B83),"Ja","Nee")</f>
        <v>Nee</v>
      </c>
      <c r="D83" s="11">
        <f t="shared" si="18"/>
        <v>1083.3600000000001</v>
      </c>
      <c r="E83" s="11">
        <v>1332.48</v>
      </c>
      <c r="F83" s="11">
        <v>1332.48</v>
      </c>
      <c r="G83" s="11">
        <v>1778</v>
      </c>
      <c r="H83" s="11">
        <v>3200</v>
      </c>
      <c r="I83" s="11"/>
      <c r="J83" s="11">
        <f t="shared" si="16"/>
        <v>660</v>
      </c>
      <c r="K83" s="11">
        <v>3200</v>
      </c>
      <c r="L83" s="11">
        <v>534</v>
      </c>
      <c r="M83" s="11"/>
      <c r="N83" s="11"/>
      <c r="O83" s="11">
        <v>5736.12</v>
      </c>
      <c r="P83" s="11">
        <v>2023.2</v>
      </c>
      <c r="Q83" s="11">
        <v>2060</v>
      </c>
      <c r="R83" s="11">
        <v>1561.8</v>
      </c>
      <c r="S83" s="11">
        <v>1348.9</v>
      </c>
      <c r="T83" s="11">
        <v>1294.69</v>
      </c>
      <c r="U83" s="11">
        <v>1295</v>
      </c>
    </row>
    <row r="84" spans="1:21" x14ac:dyDescent="0.25">
      <c r="A84" s="10">
        <v>18000</v>
      </c>
      <c r="B84" s="10">
        <v>18500</v>
      </c>
      <c r="C84" s="10" t="str">
        <f>IF(AND('Tarieven en Berekening'!$C$38&gt;=A84,'Tarieven en Berekening'!$C$38&lt;B84),"Ja","Nee")</f>
        <v>Nee</v>
      </c>
      <c r="D84" s="11">
        <f t="shared" si="18"/>
        <v>1083.3600000000001</v>
      </c>
      <c r="E84" s="11">
        <v>1332.48</v>
      </c>
      <c r="F84" s="11">
        <v>1332.48</v>
      </c>
      <c r="G84" s="11">
        <v>1880</v>
      </c>
      <c r="H84" s="11">
        <v>3200</v>
      </c>
      <c r="I84" s="11"/>
      <c r="J84" s="11">
        <f t="shared" si="16"/>
        <v>660</v>
      </c>
      <c r="K84" s="11">
        <v>3200</v>
      </c>
      <c r="L84" s="11">
        <v>534</v>
      </c>
      <c r="M84" s="11"/>
      <c r="N84" s="11"/>
      <c r="O84" s="11">
        <v>5736.12</v>
      </c>
      <c r="P84" s="11">
        <v>2124</v>
      </c>
      <c r="Q84" s="11">
        <v>2060</v>
      </c>
      <c r="R84" s="11">
        <v>1561.8</v>
      </c>
      <c r="S84" s="11">
        <v>1348.9</v>
      </c>
      <c r="T84" s="11">
        <v>1330.99</v>
      </c>
      <c r="U84" s="11">
        <v>1331</v>
      </c>
    </row>
    <row r="85" spans="1:21" x14ac:dyDescent="0.25">
      <c r="A85" s="10">
        <v>18500</v>
      </c>
      <c r="B85" s="10">
        <v>19000</v>
      </c>
      <c r="C85" s="10" t="str">
        <f>IF(AND('Tarieven en Berekening'!$C$38&gt;=A85,'Tarieven en Berekening'!$C$38&lt;B85),"Ja","Nee")</f>
        <v>Nee</v>
      </c>
      <c r="D85" s="11">
        <f t="shared" si="18"/>
        <v>1083.3600000000001</v>
      </c>
      <c r="E85" s="11">
        <v>1332.48</v>
      </c>
      <c r="F85" s="11">
        <v>1332.48</v>
      </c>
      <c r="G85" s="11">
        <v>1880</v>
      </c>
      <c r="H85" s="11">
        <v>3200</v>
      </c>
      <c r="I85" s="11"/>
      <c r="J85" s="11">
        <f t="shared" si="16"/>
        <v>660</v>
      </c>
      <c r="K85" s="11">
        <v>3200</v>
      </c>
      <c r="L85" s="11">
        <v>534</v>
      </c>
      <c r="M85" s="11"/>
      <c r="N85" s="11"/>
      <c r="O85" s="11">
        <v>5736.12</v>
      </c>
      <c r="P85" s="11">
        <v>2124</v>
      </c>
      <c r="Q85" s="11">
        <v>2060</v>
      </c>
      <c r="R85" s="11">
        <v>1561.8</v>
      </c>
      <c r="S85" s="11">
        <v>1348.9</v>
      </c>
      <c r="T85" s="11">
        <v>1367.29</v>
      </c>
      <c r="U85" s="11">
        <v>1367</v>
      </c>
    </row>
    <row r="86" spans="1:21" x14ac:dyDescent="0.25">
      <c r="A86" s="10">
        <v>19000</v>
      </c>
      <c r="B86" s="10">
        <v>19500</v>
      </c>
      <c r="C86" s="10" t="str">
        <f>IF(AND('Tarieven en Berekening'!$C$38&gt;=A86,'Tarieven en Berekening'!$C$38&lt;B86),"Ja","Nee")</f>
        <v>Nee</v>
      </c>
      <c r="D86" s="11">
        <f t="shared" si="18"/>
        <v>1083.3600000000001</v>
      </c>
      <c r="E86" s="11">
        <v>1332.48</v>
      </c>
      <c r="F86" s="11">
        <v>1332.48</v>
      </c>
      <c r="G86" s="11">
        <v>1981</v>
      </c>
      <c r="H86" s="11">
        <v>3200</v>
      </c>
      <c r="I86" s="11"/>
      <c r="J86" s="11">
        <f t="shared" si="16"/>
        <v>660</v>
      </c>
      <c r="K86" s="11">
        <v>3200</v>
      </c>
      <c r="L86" s="11">
        <v>534</v>
      </c>
      <c r="M86" s="11"/>
      <c r="N86" s="11"/>
      <c r="O86" s="11">
        <v>5736.12</v>
      </c>
      <c r="P86" s="11">
        <v>2224.8000000000002</v>
      </c>
      <c r="Q86" s="11">
        <v>2060</v>
      </c>
      <c r="R86" s="11">
        <v>1561.8</v>
      </c>
      <c r="S86" s="11">
        <v>1348.9</v>
      </c>
      <c r="T86" s="11">
        <v>1403.59</v>
      </c>
      <c r="U86" s="11">
        <v>1404</v>
      </c>
    </row>
    <row r="87" spans="1:21" x14ac:dyDescent="0.25">
      <c r="A87" s="10">
        <v>19500</v>
      </c>
      <c r="B87" s="10">
        <v>20000</v>
      </c>
      <c r="C87" s="10" t="str">
        <f>IF(AND('Tarieven en Berekening'!$C$38&gt;=A87,'Tarieven en Berekening'!$C$38&lt;B87),"Ja","Nee")</f>
        <v>Nee</v>
      </c>
      <c r="D87" s="11">
        <f t="shared" si="18"/>
        <v>1083.3600000000001</v>
      </c>
      <c r="E87" s="11">
        <v>1332.48</v>
      </c>
      <c r="F87" s="11">
        <v>1332.48</v>
      </c>
      <c r="G87" s="11">
        <v>1981</v>
      </c>
      <c r="H87" s="11">
        <v>3200</v>
      </c>
      <c r="I87" s="11"/>
      <c r="J87" s="11">
        <f t="shared" si="16"/>
        <v>660</v>
      </c>
      <c r="K87" s="11">
        <v>3200</v>
      </c>
      <c r="L87" s="11">
        <v>534</v>
      </c>
      <c r="M87" s="11"/>
      <c r="N87" s="11"/>
      <c r="O87" s="11">
        <v>5736.12</v>
      </c>
      <c r="P87" s="11">
        <v>2224.8000000000002</v>
      </c>
      <c r="Q87" s="11">
        <v>2060</v>
      </c>
      <c r="R87" s="11">
        <v>1561.8</v>
      </c>
      <c r="S87" s="11">
        <v>1348.9</v>
      </c>
      <c r="T87" s="11">
        <v>1439.89</v>
      </c>
      <c r="U87" s="11">
        <v>1440</v>
      </c>
    </row>
    <row r="88" spans="1:21" x14ac:dyDescent="0.25">
      <c r="A88" s="10">
        <v>20000</v>
      </c>
      <c r="B88" s="10">
        <v>20500</v>
      </c>
      <c r="C88" s="10" t="str">
        <f>IF(AND('Tarieven en Berekening'!$C$38&gt;=A88,'Tarieven en Berekening'!$C$38&lt;B88),"Ja","Nee")</f>
        <v>Nee</v>
      </c>
      <c r="D88" s="11">
        <f t="shared" si="18"/>
        <v>1083.3600000000001</v>
      </c>
      <c r="E88" s="11">
        <v>1332.48</v>
      </c>
      <c r="F88" s="11">
        <v>1332.48</v>
      </c>
      <c r="G88" s="11">
        <v>2083</v>
      </c>
      <c r="H88" s="11">
        <v>3200</v>
      </c>
      <c r="I88" s="11"/>
      <c r="J88" s="11">
        <f t="shared" si="16"/>
        <v>660</v>
      </c>
      <c r="K88" s="11">
        <v>3200</v>
      </c>
      <c r="L88" s="11">
        <v>534</v>
      </c>
      <c r="M88" s="11"/>
      <c r="N88" s="11"/>
      <c r="O88" s="11">
        <v>5736.12</v>
      </c>
      <c r="P88" s="11">
        <v>2527.1999999999998</v>
      </c>
      <c r="Q88" s="11">
        <v>2340</v>
      </c>
      <c r="R88" s="11">
        <v>1561.8</v>
      </c>
      <c r="S88" s="11">
        <v>1734.4</v>
      </c>
      <c r="T88" s="11">
        <v>1476.19</v>
      </c>
      <c r="U88" s="11">
        <v>1476</v>
      </c>
    </row>
    <row r="89" spans="1:21" x14ac:dyDescent="0.25">
      <c r="A89" s="10">
        <v>20500</v>
      </c>
      <c r="B89" s="10">
        <v>21000</v>
      </c>
      <c r="C89" s="10" t="str">
        <f>IF(AND('Tarieven en Berekening'!$C$38&gt;=A89,'Tarieven en Berekening'!$C$38&lt;B89),"Ja","Nee")</f>
        <v>Nee</v>
      </c>
      <c r="D89" s="11">
        <f t="shared" si="18"/>
        <v>1083.3600000000001</v>
      </c>
      <c r="E89" s="11">
        <v>1332.48</v>
      </c>
      <c r="F89" s="11">
        <v>1332.48</v>
      </c>
      <c r="G89" s="11">
        <v>2083</v>
      </c>
      <c r="H89" s="11">
        <v>3200</v>
      </c>
      <c r="I89" s="11"/>
      <c r="J89" s="11">
        <f t="shared" si="16"/>
        <v>660</v>
      </c>
      <c r="K89" s="11">
        <v>3200</v>
      </c>
      <c r="L89" s="11">
        <v>534</v>
      </c>
      <c r="M89" s="11"/>
      <c r="N89" s="11"/>
      <c r="O89" s="11">
        <v>5736.12</v>
      </c>
      <c r="P89" s="11">
        <v>2527.1999999999998</v>
      </c>
      <c r="Q89" s="11">
        <v>2340</v>
      </c>
      <c r="R89" s="11">
        <v>1561.8</v>
      </c>
      <c r="S89" s="11">
        <v>1734.4</v>
      </c>
      <c r="T89" s="11">
        <v>1512.49</v>
      </c>
      <c r="U89" s="11">
        <v>1513</v>
      </c>
    </row>
    <row r="90" spans="1:21" x14ac:dyDescent="0.25">
      <c r="A90" s="10">
        <v>21000</v>
      </c>
      <c r="B90" s="10">
        <v>21500</v>
      </c>
      <c r="C90" s="10" t="str">
        <f>IF(AND('Tarieven en Berekening'!$C$38&gt;=A90,'Tarieven en Berekening'!$C$38&lt;B90),"Ja","Nee")</f>
        <v>Nee</v>
      </c>
      <c r="D90" s="11">
        <f t="shared" si="18"/>
        <v>1083.3600000000001</v>
      </c>
      <c r="E90" s="11">
        <v>1332.48</v>
      </c>
      <c r="F90" s="11">
        <v>1332.48</v>
      </c>
      <c r="G90" s="11">
        <v>2186</v>
      </c>
      <c r="H90" s="11">
        <v>3200</v>
      </c>
      <c r="I90" s="11"/>
      <c r="J90" s="11">
        <f t="shared" si="16"/>
        <v>660</v>
      </c>
      <c r="K90" s="11">
        <v>3200</v>
      </c>
      <c r="L90" s="11">
        <v>534</v>
      </c>
      <c r="M90" s="11"/>
      <c r="N90" s="11"/>
      <c r="O90" s="11">
        <v>5736.12</v>
      </c>
      <c r="P90" s="11">
        <v>2527.1999999999998</v>
      </c>
      <c r="Q90" s="11">
        <v>2340</v>
      </c>
      <c r="R90" s="11">
        <v>1561.8</v>
      </c>
      <c r="S90" s="11">
        <v>1734.4</v>
      </c>
      <c r="T90" s="11">
        <v>1548.79</v>
      </c>
      <c r="U90" s="11">
        <v>1549</v>
      </c>
    </row>
    <row r="91" spans="1:21" x14ac:dyDescent="0.25">
      <c r="A91" s="10">
        <v>21500</v>
      </c>
      <c r="B91" s="10">
        <v>22000</v>
      </c>
      <c r="C91" s="10" t="str">
        <f>IF(AND('Tarieven en Berekening'!$C$38&gt;=A91,'Tarieven en Berekening'!$C$38&lt;B91),"Ja","Nee")</f>
        <v>Nee</v>
      </c>
      <c r="D91" s="11">
        <f t="shared" si="18"/>
        <v>1083.3600000000001</v>
      </c>
      <c r="E91" s="11">
        <v>1332.48</v>
      </c>
      <c r="F91" s="11">
        <v>1332.48</v>
      </c>
      <c r="G91" s="11">
        <v>2186</v>
      </c>
      <c r="H91" s="11">
        <v>3200</v>
      </c>
      <c r="I91" s="11"/>
      <c r="J91" s="11">
        <f t="shared" si="16"/>
        <v>660</v>
      </c>
      <c r="K91" s="11">
        <v>3200</v>
      </c>
      <c r="L91" s="11">
        <v>534</v>
      </c>
      <c r="M91" s="11"/>
      <c r="N91" s="11"/>
      <c r="O91" s="11">
        <v>5736.12</v>
      </c>
      <c r="P91" s="11">
        <v>2527.1999999999998</v>
      </c>
      <c r="Q91" s="11">
        <v>2340</v>
      </c>
      <c r="R91" s="11">
        <v>1561.8</v>
      </c>
      <c r="S91" s="11">
        <v>1734.4</v>
      </c>
      <c r="T91" s="11"/>
      <c r="U91" s="11">
        <v>1585</v>
      </c>
    </row>
    <row r="92" spans="1:21" x14ac:dyDescent="0.25">
      <c r="A92" s="10">
        <v>22000</v>
      </c>
      <c r="B92" s="10">
        <v>22500</v>
      </c>
      <c r="C92" s="10" t="str">
        <f>IF(AND('Tarieven en Berekening'!$C$38&gt;=A92,'Tarieven en Berekening'!$C$38&lt;B92),"Ja","Nee")</f>
        <v>Nee</v>
      </c>
      <c r="D92" s="11">
        <f t="shared" si="18"/>
        <v>1083.3600000000001</v>
      </c>
      <c r="E92" s="11">
        <v>1332.48</v>
      </c>
      <c r="F92" s="11">
        <v>1332.48</v>
      </c>
      <c r="G92" s="11">
        <v>2286</v>
      </c>
      <c r="H92" s="11">
        <v>3200</v>
      </c>
      <c r="I92" s="11"/>
      <c r="J92" s="11">
        <f t="shared" si="16"/>
        <v>660</v>
      </c>
      <c r="K92" s="11">
        <v>3200</v>
      </c>
      <c r="L92" s="11">
        <v>534</v>
      </c>
      <c r="M92" s="11"/>
      <c r="N92" s="11"/>
      <c r="O92" s="11">
        <v>5736.12</v>
      </c>
      <c r="P92" s="11">
        <v>2527.1999999999998</v>
      </c>
      <c r="Q92" s="11">
        <v>2340</v>
      </c>
      <c r="R92" s="11">
        <v>1561.8</v>
      </c>
      <c r="S92" s="11">
        <v>1734.4</v>
      </c>
      <c r="T92" s="11"/>
      <c r="U92" s="11">
        <v>1621</v>
      </c>
    </row>
    <row r="93" spans="1:21" x14ac:dyDescent="0.25">
      <c r="A93" s="10">
        <v>22500</v>
      </c>
      <c r="B93" s="10">
        <v>23000</v>
      </c>
      <c r="C93" s="10" t="str">
        <f>IF(AND('Tarieven en Berekening'!$C$38&gt;=A93,'Tarieven en Berekening'!$C$38&lt;B93),"Ja","Nee")</f>
        <v>Nee</v>
      </c>
      <c r="D93" s="11">
        <f t="shared" si="18"/>
        <v>1083.3600000000001</v>
      </c>
      <c r="E93" s="11">
        <v>1332.48</v>
      </c>
      <c r="F93" s="11">
        <v>1332.48</v>
      </c>
      <c r="G93" s="11">
        <v>2286</v>
      </c>
      <c r="H93" s="11">
        <v>3200</v>
      </c>
      <c r="I93" s="11"/>
      <c r="J93" s="11">
        <f t="shared" si="16"/>
        <v>660</v>
      </c>
      <c r="K93" s="11">
        <v>3200</v>
      </c>
      <c r="L93" s="11">
        <v>534</v>
      </c>
      <c r="M93" s="11"/>
      <c r="N93" s="11"/>
      <c r="O93" s="11">
        <v>5736.12</v>
      </c>
      <c r="P93" s="11">
        <v>2527.1999999999998</v>
      </c>
      <c r="Q93" s="11">
        <v>2610</v>
      </c>
      <c r="R93" s="11">
        <v>1561.8</v>
      </c>
      <c r="S93" s="11">
        <v>1734.4</v>
      </c>
      <c r="T93" s="11"/>
      <c r="U93" s="11">
        <v>1658</v>
      </c>
    </row>
    <row r="94" spans="1:21" x14ac:dyDescent="0.25">
      <c r="A94" s="10">
        <v>23000</v>
      </c>
      <c r="B94" s="10">
        <v>23500</v>
      </c>
      <c r="C94" s="10" t="str">
        <f>IF(AND('Tarieven en Berekening'!$C$38&gt;=A94,'Tarieven en Berekening'!$C$38&lt;B94),"Ja","Nee")</f>
        <v>Nee</v>
      </c>
      <c r="D94" s="11">
        <f t="shared" si="18"/>
        <v>1083.3600000000001</v>
      </c>
      <c r="E94" s="11">
        <v>1332.48</v>
      </c>
      <c r="F94" s="11">
        <v>1332.48</v>
      </c>
      <c r="G94" s="11">
        <v>2388</v>
      </c>
      <c r="H94" s="11">
        <v>3200</v>
      </c>
      <c r="I94" s="11"/>
      <c r="J94" s="11">
        <f t="shared" si="16"/>
        <v>660</v>
      </c>
      <c r="K94" s="11">
        <v>3200</v>
      </c>
      <c r="L94" s="11">
        <v>534</v>
      </c>
      <c r="M94" s="11"/>
      <c r="N94" s="11"/>
      <c r="O94" s="11">
        <v>5736.12</v>
      </c>
      <c r="P94" s="11">
        <v>2527.1999999999998</v>
      </c>
      <c r="Q94" s="11">
        <v>2610</v>
      </c>
      <c r="R94" s="11">
        <v>1561.8</v>
      </c>
      <c r="S94" s="11">
        <v>1734.4</v>
      </c>
      <c r="T94" s="11"/>
      <c r="U94" s="11">
        <v>1694</v>
      </c>
    </row>
    <row r="95" spans="1:21" x14ac:dyDescent="0.25">
      <c r="A95" s="10">
        <v>23500</v>
      </c>
      <c r="B95" s="10">
        <v>24000</v>
      </c>
      <c r="C95" s="10" t="str">
        <f>IF(AND('Tarieven en Berekening'!$C$38&gt;=A95,'Tarieven en Berekening'!$C$38&lt;B95),"Ja","Nee")</f>
        <v>Nee</v>
      </c>
      <c r="D95" s="11">
        <f t="shared" si="18"/>
        <v>1083.3600000000001</v>
      </c>
      <c r="E95" s="11">
        <v>1332.48</v>
      </c>
      <c r="F95" s="11">
        <v>1332.48</v>
      </c>
      <c r="G95" s="11">
        <v>2388</v>
      </c>
      <c r="H95" s="11">
        <v>3200</v>
      </c>
      <c r="I95" s="11"/>
      <c r="J95" s="11">
        <f t="shared" si="16"/>
        <v>660</v>
      </c>
      <c r="K95" s="11">
        <v>3200</v>
      </c>
      <c r="L95" s="11">
        <v>534</v>
      </c>
      <c r="M95" s="11"/>
      <c r="N95" s="11"/>
      <c r="O95" s="11">
        <v>5736.12</v>
      </c>
      <c r="P95" s="11">
        <v>2527.1999999999998</v>
      </c>
      <c r="Q95" s="11">
        <v>2610</v>
      </c>
      <c r="R95" s="11">
        <v>1561.8</v>
      </c>
      <c r="S95" s="11">
        <v>1734.4</v>
      </c>
      <c r="T95" s="11"/>
      <c r="U95" s="11">
        <v>1730</v>
      </c>
    </row>
    <row r="96" spans="1:21" x14ac:dyDescent="0.25">
      <c r="A96" s="10">
        <v>24000</v>
      </c>
      <c r="B96" s="10">
        <v>25000</v>
      </c>
      <c r="C96" s="10" t="str">
        <f>IF(AND('Tarieven en Berekening'!$C$38&gt;=A96,'Tarieven en Berekening'!$C$38&lt;B96),"Ja","Nee")</f>
        <v>Nee</v>
      </c>
      <c r="D96" s="11">
        <f t="shared" si="18"/>
        <v>1083.3600000000001</v>
      </c>
      <c r="E96" s="11">
        <v>1332.48</v>
      </c>
      <c r="F96" s="11">
        <v>1332.48</v>
      </c>
      <c r="G96" s="11">
        <v>2490</v>
      </c>
      <c r="H96" s="11">
        <v>3200</v>
      </c>
      <c r="I96" s="11"/>
      <c r="J96" s="11">
        <f t="shared" si="16"/>
        <v>660</v>
      </c>
      <c r="K96" s="11">
        <v>3200</v>
      </c>
      <c r="L96" s="11">
        <v>534</v>
      </c>
      <c r="M96" s="11"/>
      <c r="N96" s="11"/>
      <c r="O96" s="11">
        <v>5736.12</v>
      </c>
      <c r="P96" s="11">
        <v>2527.1999999999998</v>
      </c>
      <c r="Q96" s="11">
        <v>2610</v>
      </c>
      <c r="R96" s="11">
        <v>1561.8</v>
      </c>
      <c r="S96" s="11">
        <v>1734.4</v>
      </c>
      <c r="T96" s="11"/>
      <c r="U96" s="11"/>
    </row>
    <row r="97" spans="1:21" x14ac:dyDescent="0.25">
      <c r="A97" s="10">
        <v>25000</v>
      </c>
      <c r="B97" s="10">
        <v>26000</v>
      </c>
      <c r="C97" s="10" t="str">
        <f>IF(AND('Tarieven en Berekening'!$C$38&gt;=A97,'Tarieven en Berekening'!$C$38&lt;B97),"Ja","Nee")</f>
        <v>Nee</v>
      </c>
      <c r="D97" s="11">
        <f t="shared" si="18"/>
        <v>1083.3600000000001</v>
      </c>
      <c r="E97" s="11">
        <v>1332.48</v>
      </c>
      <c r="F97" s="11">
        <v>1332.48</v>
      </c>
      <c r="G97" s="11">
        <v>2591</v>
      </c>
      <c r="H97" s="11">
        <v>3200</v>
      </c>
      <c r="I97" s="11"/>
      <c r="J97" s="11">
        <f t="shared" si="16"/>
        <v>660</v>
      </c>
      <c r="K97" s="11">
        <v>3200</v>
      </c>
      <c r="L97" s="11">
        <v>534</v>
      </c>
      <c r="M97" s="11"/>
      <c r="N97" s="11"/>
      <c r="O97" s="11">
        <v>5736.12</v>
      </c>
      <c r="P97" s="11">
        <v>2527.1999999999998</v>
      </c>
      <c r="Q97" s="11">
        <v>2890</v>
      </c>
      <c r="R97" s="11">
        <v>1561.8</v>
      </c>
      <c r="S97" s="11">
        <v>2119.6999999999998</v>
      </c>
      <c r="T97" s="11"/>
      <c r="U97" s="11"/>
    </row>
    <row r="98" spans="1:21" x14ac:dyDescent="0.25">
      <c r="A98" s="10">
        <v>26000</v>
      </c>
      <c r="B98" s="10">
        <v>27000</v>
      </c>
      <c r="C98" s="10" t="str">
        <f>IF(AND('Tarieven en Berekening'!$C$38&gt;=A98,'Tarieven en Berekening'!$C$38&lt;B98),"Ja","Nee")</f>
        <v>Nee</v>
      </c>
      <c r="D98" s="11">
        <f t="shared" si="18"/>
        <v>1083.3600000000001</v>
      </c>
      <c r="E98" s="11">
        <v>1332.48</v>
      </c>
      <c r="F98" s="11">
        <v>1332.48</v>
      </c>
      <c r="G98" s="11">
        <v>2693</v>
      </c>
      <c r="H98" s="11">
        <v>3200</v>
      </c>
      <c r="I98" s="11"/>
      <c r="J98" s="11">
        <f t="shared" si="16"/>
        <v>660</v>
      </c>
      <c r="K98" s="11">
        <v>3200</v>
      </c>
      <c r="L98" s="11">
        <v>534</v>
      </c>
      <c r="M98" s="11"/>
      <c r="N98" s="11"/>
      <c r="O98" s="11">
        <v>5736.12</v>
      </c>
      <c r="P98" s="11">
        <v>2527.1999999999998</v>
      </c>
      <c r="Q98" s="11">
        <v>2890</v>
      </c>
      <c r="R98" s="11">
        <v>1561.8</v>
      </c>
      <c r="S98" s="11">
        <v>2119.6999999999998</v>
      </c>
      <c r="T98" s="11"/>
      <c r="U98" s="11"/>
    </row>
    <row r="99" spans="1:21" x14ac:dyDescent="0.25">
      <c r="A99" s="10">
        <v>27000</v>
      </c>
      <c r="B99" s="10">
        <v>28000</v>
      </c>
      <c r="C99" s="10" t="str">
        <f>IF(AND('Tarieven en Berekening'!$C$38&gt;=A99,'Tarieven en Berekening'!$C$38&lt;B99),"Ja","Nee")</f>
        <v>Nee</v>
      </c>
      <c r="D99" s="11">
        <f t="shared" si="18"/>
        <v>1083.3600000000001</v>
      </c>
      <c r="E99" s="11">
        <v>1332.48</v>
      </c>
      <c r="F99" s="11">
        <v>1332.48</v>
      </c>
      <c r="G99" s="11">
        <v>2795</v>
      </c>
      <c r="H99" s="11">
        <v>3200</v>
      </c>
      <c r="I99" s="11"/>
      <c r="J99" s="11">
        <f t="shared" si="16"/>
        <v>660</v>
      </c>
      <c r="K99" s="11">
        <v>3200</v>
      </c>
      <c r="L99" s="11">
        <v>534</v>
      </c>
      <c r="M99" s="11"/>
      <c r="N99" s="11"/>
      <c r="O99" s="11">
        <v>5736.12</v>
      </c>
      <c r="P99" s="11">
        <v>2527.1999999999998</v>
      </c>
      <c r="Q99" s="11">
        <v>2890</v>
      </c>
      <c r="R99" s="11">
        <v>1561.8</v>
      </c>
      <c r="S99" s="11">
        <v>2119.6999999999998</v>
      </c>
      <c r="T99" s="11"/>
      <c r="U99" s="11"/>
    </row>
    <row r="100" spans="1:21" x14ac:dyDescent="0.25">
      <c r="A100" s="10">
        <v>28000</v>
      </c>
      <c r="B100" s="10">
        <v>29000</v>
      </c>
      <c r="C100" s="10" t="str">
        <f>IF(AND('Tarieven en Berekening'!$C$38&gt;=A100,'Tarieven en Berekening'!$C$38&lt;B100),"Ja","Nee")</f>
        <v>Nee</v>
      </c>
      <c r="D100" s="11">
        <f t="shared" si="18"/>
        <v>1083.3600000000001</v>
      </c>
      <c r="E100" s="11">
        <v>1332.48</v>
      </c>
      <c r="F100" s="11">
        <v>1332.48</v>
      </c>
      <c r="G100" s="11">
        <v>2896</v>
      </c>
      <c r="H100" s="11">
        <v>3200</v>
      </c>
      <c r="I100" s="11"/>
      <c r="J100" s="11">
        <f t="shared" si="16"/>
        <v>660</v>
      </c>
      <c r="K100" s="11">
        <v>3200</v>
      </c>
      <c r="L100" s="11">
        <v>534</v>
      </c>
      <c r="M100" s="11"/>
      <c r="N100" s="11"/>
      <c r="O100" s="11">
        <v>5736.12</v>
      </c>
      <c r="P100" s="11">
        <v>2527.1999999999998</v>
      </c>
      <c r="Q100" s="11">
        <v>3160</v>
      </c>
      <c r="R100" s="11">
        <v>1561.8</v>
      </c>
      <c r="S100" s="11">
        <v>2119.6999999999998</v>
      </c>
      <c r="T100" s="11"/>
      <c r="U100" s="11"/>
    </row>
    <row r="101" spans="1:21" x14ac:dyDescent="0.25">
      <c r="A101" s="10">
        <v>29000</v>
      </c>
      <c r="B101" s="10">
        <v>30000</v>
      </c>
      <c r="C101" s="10" t="str">
        <f>IF(AND('Tarieven en Berekening'!$C$38&gt;=A101,'Tarieven en Berekening'!$C$38&lt;B101),"Ja","Nee")</f>
        <v>Nee</v>
      </c>
      <c r="D101" s="11">
        <f t="shared" si="18"/>
        <v>1083.3600000000001</v>
      </c>
      <c r="E101" s="11">
        <v>1332.48</v>
      </c>
      <c r="F101" s="11">
        <v>1332.48</v>
      </c>
      <c r="G101" s="11">
        <v>2998</v>
      </c>
      <c r="H101" s="11">
        <v>3200</v>
      </c>
      <c r="I101" s="11"/>
      <c r="J101" s="11">
        <f t="shared" si="16"/>
        <v>660</v>
      </c>
      <c r="K101" s="11">
        <v>3200</v>
      </c>
      <c r="L101" s="11">
        <v>534</v>
      </c>
      <c r="M101" s="11"/>
      <c r="N101" s="11"/>
      <c r="O101" s="11">
        <v>5736.12</v>
      </c>
      <c r="P101" s="11">
        <v>2527.1999999999998</v>
      </c>
      <c r="Q101" s="11">
        <v>3160</v>
      </c>
      <c r="R101" s="11">
        <v>1561.8</v>
      </c>
      <c r="S101" s="11">
        <v>2119.6999999999998</v>
      </c>
      <c r="T101" s="11"/>
      <c r="U101" s="11"/>
    </row>
    <row r="102" spans="1:21" x14ac:dyDescent="0.25">
      <c r="A102" s="10">
        <v>30000</v>
      </c>
      <c r="B102" s="10">
        <v>35000</v>
      </c>
      <c r="C102" s="10" t="str">
        <f>IF(AND('Tarieven en Berekening'!$C$38&gt;=A102,'Tarieven en Berekening'!$C$38&lt;B102),"Ja","Nee")</f>
        <v>Nee</v>
      </c>
      <c r="D102" s="11">
        <f t="shared" si="18"/>
        <v>1083.3600000000001</v>
      </c>
      <c r="E102" s="11">
        <v>1332.48</v>
      </c>
      <c r="F102" s="11">
        <v>1332.48</v>
      </c>
      <c r="G102" s="11">
        <v>3303</v>
      </c>
      <c r="H102" s="11">
        <v>3200</v>
      </c>
      <c r="I102" s="11"/>
      <c r="J102" s="11">
        <f t="shared" si="16"/>
        <v>660</v>
      </c>
      <c r="K102" s="11">
        <v>3200</v>
      </c>
      <c r="L102" s="11">
        <v>534</v>
      </c>
      <c r="M102" s="11"/>
      <c r="N102" s="11"/>
      <c r="O102" s="11">
        <v>5736.12</v>
      </c>
      <c r="P102" s="11">
        <v>2527.1999999999998</v>
      </c>
      <c r="Q102" s="11">
        <v>3160</v>
      </c>
      <c r="R102" s="11">
        <v>1561.8</v>
      </c>
      <c r="S102" s="11">
        <v>2119.6999999999998</v>
      </c>
      <c r="T102" s="11"/>
      <c r="U102" s="11"/>
    </row>
    <row r="103" spans="1:21" x14ac:dyDescent="0.25">
      <c r="A103" s="10">
        <v>35000</v>
      </c>
      <c r="B103" s="10">
        <v>40000</v>
      </c>
      <c r="C103" s="10" t="str">
        <f>IF(AND('Tarieven en Berekening'!$C$38&gt;=A103,'Tarieven en Berekening'!$C$38&lt;B103),"Ja","Nee")</f>
        <v>Nee</v>
      </c>
      <c r="D103" s="11">
        <f t="shared" si="18"/>
        <v>1083.3600000000001</v>
      </c>
      <c r="E103" s="11">
        <v>1332.48</v>
      </c>
      <c r="F103" s="11">
        <v>1332.48</v>
      </c>
      <c r="G103" s="11">
        <v>3811</v>
      </c>
      <c r="H103" s="11">
        <v>3200</v>
      </c>
      <c r="I103" s="11"/>
      <c r="J103" s="11">
        <f t="shared" si="16"/>
        <v>660</v>
      </c>
      <c r="K103" s="11">
        <v>3200</v>
      </c>
      <c r="L103" s="11">
        <v>534</v>
      </c>
      <c r="M103" s="11"/>
      <c r="N103" s="11"/>
      <c r="O103" s="11">
        <v>5736.12</v>
      </c>
      <c r="P103" s="11">
        <v>2527.1999999999998</v>
      </c>
      <c r="Q103" s="11">
        <v>3400</v>
      </c>
      <c r="R103" s="11">
        <v>1561.8</v>
      </c>
      <c r="S103" s="11">
        <v>2119.6999999999998</v>
      </c>
      <c r="T103" s="11"/>
      <c r="U103" s="11"/>
    </row>
    <row r="104" spans="1:21" x14ac:dyDescent="0.25">
      <c r="A104" s="10">
        <v>40000</v>
      </c>
      <c r="B104" s="10">
        <v>45000</v>
      </c>
      <c r="C104" s="10" t="str">
        <f>IF(AND('Tarieven en Berekening'!$C$38&gt;=A104,'Tarieven en Berekening'!$C$38&lt;B104),"Ja","Nee")</f>
        <v>Nee</v>
      </c>
      <c r="D104" s="11">
        <f t="shared" si="18"/>
        <v>1083.3600000000001</v>
      </c>
      <c r="E104" s="11">
        <v>1332.48</v>
      </c>
      <c r="F104" s="11">
        <v>1332.48</v>
      </c>
      <c r="G104" s="11">
        <v>4319</v>
      </c>
      <c r="H104" s="11">
        <v>3200</v>
      </c>
      <c r="I104" s="11"/>
      <c r="J104" s="11">
        <f t="shared" si="16"/>
        <v>660</v>
      </c>
      <c r="K104" s="11">
        <v>3200</v>
      </c>
      <c r="L104" s="11">
        <v>534</v>
      </c>
      <c r="M104" s="11"/>
      <c r="N104" s="11"/>
      <c r="O104" s="11">
        <v>5736.12</v>
      </c>
      <c r="P104" s="11">
        <v>2527.1999999999998</v>
      </c>
      <c r="Q104" s="11">
        <v>3400</v>
      </c>
      <c r="R104" s="11">
        <v>1561.8</v>
      </c>
      <c r="S104" s="11">
        <v>2119.6999999999998</v>
      </c>
      <c r="T104" s="11"/>
      <c r="U104" s="11"/>
    </row>
    <row r="105" spans="1:21" x14ac:dyDescent="0.25">
      <c r="A105" s="10">
        <v>45000</v>
      </c>
      <c r="B105" s="10">
        <v>50000</v>
      </c>
      <c r="C105" s="10" t="str">
        <f>IF(AND('Tarieven en Berekening'!$C$38&gt;=A105,'Tarieven en Berekening'!$C$38&lt;B105),"Ja","Nee")</f>
        <v>Nee</v>
      </c>
      <c r="D105" s="11">
        <f t="shared" si="18"/>
        <v>1083.3600000000001</v>
      </c>
      <c r="E105" s="11">
        <v>1332.48</v>
      </c>
      <c r="F105" s="11">
        <v>1332.48</v>
      </c>
      <c r="G105" s="11">
        <v>4827</v>
      </c>
      <c r="H105" s="11">
        <v>3200</v>
      </c>
      <c r="I105" s="11"/>
      <c r="J105" s="11">
        <f t="shared" si="16"/>
        <v>660</v>
      </c>
      <c r="K105" s="11">
        <v>3200</v>
      </c>
      <c r="L105" s="11">
        <v>534</v>
      </c>
      <c r="M105" s="11"/>
      <c r="N105" s="11"/>
      <c r="O105" s="11">
        <v>5736.12</v>
      </c>
      <c r="P105" s="11">
        <v>2527.1999999999998</v>
      </c>
      <c r="Q105" s="11">
        <v>3400</v>
      </c>
      <c r="R105" s="11">
        <v>1561.8</v>
      </c>
      <c r="S105" s="11">
        <v>2119.6999999999998</v>
      </c>
      <c r="T105" s="11"/>
      <c r="U105" s="11"/>
    </row>
    <row r="106" spans="1:21" x14ac:dyDescent="0.25">
      <c r="A106" s="10">
        <v>50000</v>
      </c>
      <c r="B106" s="10">
        <v>55000</v>
      </c>
      <c r="C106" s="10" t="str">
        <f>IF(AND('Tarieven en Berekening'!$C$38&gt;=A106,'Tarieven en Berekening'!$C$38&lt;B106),"Ja","Nee")</f>
        <v>Nee</v>
      </c>
      <c r="D106" s="11">
        <f t="shared" si="18"/>
        <v>1083.3600000000001</v>
      </c>
      <c r="E106" s="11">
        <v>1332.48</v>
      </c>
      <c r="F106" s="11">
        <v>1332.48</v>
      </c>
      <c r="G106" s="11">
        <v>5336</v>
      </c>
      <c r="H106" s="11">
        <v>3200</v>
      </c>
      <c r="I106" s="11"/>
      <c r="J106" s="11">
        <f t="shared" si="16"/>
        <v>660</v>
      </c>
      <c r="K106" s="11">
        <v>3200</v>
      </c>
      <c r="L106" s="11">
        <v>534</v>
      </c>
      <c r="M106" s="11"/>
      <c r="N106" s="11"/>
      <c r="O106" s="11">
        <v>5736.12</v>
      </c>
      <c r="P106" s="11">
        <v>2527.1999999999998</v>
      </c>
      <c r="Q106" s="11">
        <v>3400</v>
      </c>
      <c r="R106" s="11">
        <v>1561.8</v>
      </c>
      <c r="S106" s="11">
        <v>2119.6999999999998</v>
      </c>
      <c r="T106" s="11"/>
      <c r="U106" s="11"/>
    </row>
    <row r="107" spans="1:21" x14ac:dyDescent="0.25">
      <c r="A107" s="10">
        <v>55000</v>
      </c>
      <c r="B107" s="10">
        <v>60000</v>
      </c>
      <c r="C107" s="10" t="str">
        <f>IF(AND('Tarieven en Berekening'!$C$38&gt;=A107,'Tarieven en Berekening'!$C$38&lt;B107),"Ja","Nee")</f>
        <v>Nee</v>
      </c>
      <c r="D107" s="11">
        <f t="shared" si="18"/>
        <v>1083.3600000000001</v>
      </c>
      <c r="E107" s="11">
        <v>1332.48</v>
      </c>
      <c r="F107" s="11">
        <v>1332.48</v>
      </c>
      <c r="G107" s="11">
        <v>5844</v>
      </c>
      <c r="H107" s="11">
        <v>3200</v>
      </c>
      <c r="I107" s="11"/>
      <c r="J107" s="11">
        <f t="shared" si="16"/>
        <v>660</v>
      </c>
      <c r="K107" s="11">
        <v>3200</v>
      </c>
      <c r="L107" s="11">
        <v>534</v>
      </c>
      <c r="M107" s="11"/>
      <c r="N107" s="11"/>
      <c r="O107" s="11">
        <v>5736.12</v>
      </c>
      <c r="P107" s="11">
        <v>2527.1999999999998</v>
      </c>
      <c r="Q107" s="11">
        <v>3400</v>
      </c>
      <c r="R107" s="11">
        <v>1561.8</v>
      </c>
      <c r="S107" s="11">
        <v>2119.6999999999998</v>
      </c>
      <c r="T107" s="11"/>
      <c r="U107" s="11"/>
    </row>
    <row r="108" spans="1:21" x14ac:dyDescent="0.25">
      <c r="A108" s="10">
        <v>60000</v>
      </c>
      <c r="B108" s="10">
        <v>65000</v>
      </c>
      <c r="C108" s="10" t="str">
        <f>IF(AND('Tarieven en Berekening'!$C$38&gt;=A108,'Tarieven en Berekening'!$C$38&lt;B108),"Ja","Nee")</f>
        <v>Nee</v>
      </c>
      <c r="D108" s="11">
        <f t="shared" si="18"/>
        <v>1083.3600000000001</v>
      </c>
      <c r="E108" s="11">
        <v>1332.48</v>
      </c>
      <c r="F108" s="11">
        <v>1332.48</v>
      </c>
      <c r="G108" s="11">
        <v>6352</v>
      </c>
      <c r="H108" s="11">
        <v>3200</v>
      </c>
      <c r="I108" s="11"/>
      <c r="J108" s="11">
        <f t="shared" si="16"/>
        <v>660</v>
      </c>
      <c r="K108" s="11">
        <v>3200</v>
      </c>
      <c r="L108" s="11">
        <v>534</v>
      </c>
      <c r="M108" s="11"/>
      <c r="N108" s="11"/>
      <c r="O108" s="11">
        <v>5736.12</v>
      </c>
      <c r="P108" s="11">
        <v>2527.1999999999998</v>
      </c>
      <c r="Q108" s="11">
        <v>3400</v>
      </c>
      <c r="R108" s="11">
        <v>1561.8</v>
      </c>
      <c r="S108" s="11">
        <v>2119.6999999999998</v>
      </c>
      <c r="T108" s="11"/>
      <c r="U108" s="11"/>
    </row>
    <row r="109" spans="1:21" x14ac:dyDescent="0.25">
      <c r="A109" s="10">
        <v>65000</v>
      </c>
      <c r="B109" s="10">
        <v>70000</v>
      </c>
      <c r="C109" s="10" t="str">
        <f>IF(AND('Tarieven en Berekening'!$C$38&gt;=A109,'Tarieven en Berekening'!$C$38&lt;B109),"Ja","Nee")</f>
        <v>Nee</v>
      </c>
      <c r="D109" s="11">
        <f t="shared" si="18"/>
        <v>1083.3600000000001</v>
      </c>
      <c r="E109" s="11">
        <v>1332.48</v>
      </c>
      <c r="F109" s="11">
        <v>1332.48</v>
      </c>
      <c r="G109" s="11">
        <v>6860</v>
      </c>
      <c r="H109" s="11">
        <v>3200</v>
      </c>
      <c r="I109" s="11"/>
      <c r="J109" s="11">
        <f t="shared" si="16"/>
        <v>660</v>
      </c>
      <c r="K109" s="11">
        <v>3200</v>
      </c>
      <c r="L109" s="11">
        <v>534</v>
      </c>
      <c r="M109" s="11"/>
      <c r="N109" s="11"/>
      <c r="O109" s="11">
        <v>5736.12</v>
      </c>
      <c r="P109" s="11">
        <v>2527.1999999999998</v>
      </c>
      <c r="Q109" s="11">
        <v>3400</v>
      </c>
      <c r="R109" s="11">
        <v>1561.8</v>
      </c>
      <c r="S109" s="11">
        <v>2119.6999999999998</v>
      </c>
      <c r="T109" s="11"/>
      <c r="U109" s="11"/>
    </row>
    <row r="110" spans="1:21" x14ac:dyDescent="0.25">
      <c r="A110" s="10">
        <v>70000</v>
      </c>
      <c r="B110" s="10">
        <v>75000</v>
      </c>
      <c r="C110" s="10" t="str">
        <f>IF(AND('Tarieven en Berekening'!$C$38&gt;=A110,'Tarieven en Berekening'!$C$38&lt;B110),"Ja","Nee")</f>
        <v>Nee</v>
      </c>
      <c r="D110" s="11">
        <f t="shared" si="18"/>
        <v>1083.3600000000001</v>
      </c>
      <c r="E110" s="11">
        <v>1332.48</v>
      </c>
      <c r="F110" s="11">
        <v>1332.48</v>
      </c>
      <c r="G110" s="11">
        <v>7368</v>
      </c>
      <c r="H110" s="11">
        <v>3200</v>
      </c>
      <c r="I110" s="11"/>
      <c r="J110" s="11">
        <f t="shared" si="16"/>
        <v>660</v>
      </c>
      <c r="K110" s="11">
        <v>3200</v>
      </c>
      <c r="L110" s="11">
        <v>534</v>
      </c>
      <c r="M110" s="11"/>
      <c r="N110" s="11"/>
      <c r="O110" s="11">
        <v>5736.12</v>
      </c>
      <c r="P110" s="11">
        <v>2527.1999999999998</v>
      </c>
      <c r="Q110" s="11">
        <v>3400</v>
      </c>
      <c r="R110" s="11">
        <v>1561.8</v>
      </c>
      <c r="S110" s="11">
        <v>2119.6999999999998</v>
      </c>
      <c r="T110" s="11"/>
      <c r="U110" s="11"/>
    </row>
    <row r="111" spans="1:21" x14ac:dyDescent="0.25">
      <c r="A111" s="10">
        <v>75000</v>
      </c>
      <c r="B111" s="10">
        <v>80000</v>
      </c>
      <c r="C111" s="10" t="str">
        <f>IF(AND('Tarieven en Berekening'!$C$38&gt;=A111,'Tarieven en Berekening'!$C$38&lt;B111),"Ja","Nee")</f>
        <v>Nee</v>
      </c>
      <c r="D111" s="11">
        <f t="shared" si="18"/>
        <v>1083.3600000000001</v>
      </c>
      <c r="E111" s="11">
        <v>1332.48</v>
      </c>
      <c r="F111" s="11">
        <v>1332.48</v>
      </c>
      <c r="G111" s="11">
        <v>7877</v>
      </c>
      <c r="H111" s="11">
        <v>3200</v>
      </c>
      <c r="I111" s="11"/>
      <c r="J111" s="11">
        <f t="shared" si="16"/>
        <v>660</v>
      </c>
      <c r="K111" s="11">
        <v>3200</v>
      </c>
      <c r="L111" s="11">
        <v>534</v>
      </c>
      <c r="M111" s="11"/>
      <c r="N111" s="11"/>
      <c r="O111" s="11">
        <v>5736.12</v>
      </c>
      <c r="P111" s="11">
        <v>2527.1999999999998</v>
      </c>
      <c r="Q111" s="11">
        <v>3400</v>
      </c>
      <c r="R111" s="11">
        <v>1561.8</v>
      </c>
      <c r="S111" s="11">
        <v>2119.6999999999998</v>
      </c>
      <c r="T111" s="11"/>
      <c r="U111" s="11"/>
    </row>
    <row r="112" spans="1:21" x14ac:dyDescent="0.25">
      <c r="A112" s="10">
        <v>80000</v>
      </c>
      <c r="B112" s="10">
        <v>85000</v>
      </c>
      <c r="C112" s="10" t="str">
        <f>IF(AND('Tarieven en Berekening'!$C$38&gt;=A112,'Tarieven en Berekening'!$C$38&lt;B112),"Ja","Nee")</f>
        <v>Nee</v>
      </c>
      <c r="D112" s="11">
        <f t="shared" si="18"/>
        <v>1083.3600000000001</v>
      </c>
      <c r="E112" s="11">
        <v>1332.48</v>
      </c>
      <c r="F112" s="11">
        <v>1332.48</v>
      </c>
      <c r="G112" s="11">
        <v>8385</v>
      </c>
      <c r="H112" s="11">
        <v>3200</v>
      </c>
      <c r="I112" s="11"/>
      <c r="J112" s="11">
        <f t="shared" si="16"/>
        <v>660</v>
      </c>
      <c r="K112" s="11">
        <v>3200</v>
      </c>
      <c r="L112" s="11">
        <v>534</v>
      </c>
      <c r="M112" s="11"/>
      <c r="N112" s="11"/>
      <c r="O112" s="11">
        <v>5736.12</v>
      </c>
      <c r="P112" s="11">
        <v>2527.1999999999998</v>
      </c>
      <c r="Q112" s="11">
        <v>3400</v>
      </c>
      <c r="R112" s="11">
        <v>1561.8</v>
      </c>
      <c r="S112" s="11">
        <v>2119.6999999999998</v>
      </c>
      <c r="T112" s="11"/>
      <c r="U112" s="11"/>
    </row>
    <row r="113" spans="1:21" x14ac:dyDescent="0.25">
      <c r="A113" s="10">
        <v>85000</v>
      </c>
      <c r="B113" s="10">
        <v>90000</v>
      </c>
      <c r="C113" s="10" t="str">
        <f>IF(AND('Tarieven en Berekening'!$C$38&gt;=A113,'Tarieven en Berekening'!$C$38&lt;B113),"Ja","Nee")</f>
        <v>Nee</v>
      </c>
      <c r="D113" s="11">
        <f t="shared" si="18"/>
        <v>1083.3600000000001</v>
      </c>
      <c r="E113" s="11">
        <v>1332.48</v>
      </c>
      <c r="F113" s="11">
        <v>1332.48</v>
      </c>
      <c r="G113" s="11">
        <v>8893</v>
      </c>
      <c r="H113" s="11">
        <v>3200</v>
      </c>
      <c r="I113" s="11"/>
      <c r="J113" s="11">
        <f t="shared" ref="J113:J115" si="19">55*12</f>
        <v>660</v>
      </c>
      <c r="K113" s="11">
        <v>3200</v>
      </c>
      <c r="L113" s="11">
        <v>534</v>
      </c>
      <c r="M113" s="11"/>
      <c r="N113" s="11"/>
      <c r="O113" s="11">
        <v>5736.12</v>
      </c>
      <c r="P113" s="11">
        <v>2527.1999999999998</v>
      </c>
      <c r="Q113" s="11">
        <v>3400</v>
      </c>
      <c r="R113" s="11">
        <v>1561.8</v>
      </c>
      <c r="S113" s="11">
        <v>2119.6999999999998</v>
      </c>
      <c r="T113" s="11"/>
      <c r="U113" s="11"/>
    </row>
    <row r="114" spans="1:21" x14ac:dyDescent="0.25">
      <c r="A114" s="10">
        <v>90000</v>
      </c>
      <c r="B114" s="10">
        <v>95000</v>
      </c>
      <c r="C114" s="10" t="str">
        <f>IF(AND('Tarieven en Berekening'!$C$38&gt;=A114,'Tarieven en Berekening'!$C$38&lt;B114),"Ja","Nee")</f>
        <v>Nee</v>
      </c>
      <c r="D114" s="11">
        <f t="shared" si="18"/>
        <v>1083.3600000000001</v>
      </c>
      <c r="E114" s="11">
        <v>1332.48</v>
      </c>
      <c r="F114" s="11">
        <v>1332.48</v>
      </c>
      <c r="G114" s="11">
        <v>9401</v>
      </c>
      <c r="H114" s="11">
        <v>3200</v>
      </c>
      <c r="I114" s="11"/>
      <c r="J114" s="11">
        <f t="shared" si="19"/>
        <v>660</v>
      </c>
      <c r="K114" s="11">
        <v>3200</v>
      </c>
      <c r="L114" s="11">
        <v>534</v>
      </c>
      <c r="M114" s="11"/>
      <c r="N114" s="11"/>
      <c r="O114" s="11">
        <v>5736.12</v>
      </c>
      <c r="P114" s="11">
        <v>2527.1999999999998</v>
      </c>
      <c r="Q114" s="11">
        <v>3400</v>
      </c>
      <c r="R114" s="11">
        <v>1561.8</v>
      </c>
      <c r="S114" s="11">
        <v>2119.6999999999998</v>
      </c>
      <c r="T114" s="11"/>
      <c r="U114" s="11"/>
    </row>
    <row r="115" spans="1:21" x14ac:dyDescent="0.25">
      <c r="A115" s="10">
        <v>95000</v>
      </c>
      <c r="B115" s="10">
        <v>100000</v>
      </c>
      <c r="C115" s="10" t="str">
        <f>IF(AND('Tarieven en Berekening'!$C$38&gt;=A115,'Tarieven en Berekening'!$C$38&lt;B115),"Ja","Nee")</f>
        <v>Nee</v>
      </c>
      <c r="D115" s="11">
        <f t="shared" si="18"/>
        <v>1083.3600000000001</v>
      </c>
      <c r="E115" s="11">
        <v>1332.48</v>
      </c>
      <c r="F115" s="11">
        <v>1332.48</v>
      </c>
      <c r="G115" s="11">
        <v>9909</v>
      </c>
      <c r="H115" s="11">
        <v>3200</v>
      </c>
      <c r="I115" s="11"/>
      <c r="J115" s="11">
        <f t="shared" si="19"/>
        <v>660</v>
      </c>
      <c r="K115" s="11">
        <v>3200</v>
      </c>
      <c r="L115" s="11">
        <v>534</v>
      </c>
      <c r="M115" s="11"/>
      <c r="N115" s="11"/>
      <c r="O115" s="11">
        <v>5736.12</v>
      </c>
      <c r="P115" s="11">
        <v>2527.1999999999998</v>
      </c>
      <c r="Q115" s="11">
        <v>3400</v>
      </c>
      <c r="R115" s="11">
        <v>1561.8</v>
      </c>
      <c r="S115" s="11">
        <v>2119.6999999999998</v>
      </c>
      <c r="T115" s="11"/>
      <c r="U115" s="11"/>
    </row>
  </sheetData>
  <phoneticPr fontId="1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4 E A A B Q S w M E F A A C A A g A R 6 d i U l 5 M 5 3 m j A A A A 9 Q A A A B I A H A B D b 2 5 m a W c v U G F j a 2 F n Z S 5 4 b W w g o h g A K K A U A A A A A A A A A A A A A A A A A A A A A A A A A A A A h Y + x D o I w F E V / h X S n L X U h 5 F E S H V w k M T E x r g 1 U a I S H o c X y b w 5 + k r 8 g R l E 3 x 3 v P G e 6 9 X 2 + Q j W 0 T X H R v T Y c p i S g n g c a i K w 1 W K R n c M Y x J J m G r i p O q d D D J a J P R l i m p n T s n j H n v q V / Q r q + Y 4 D x i h 3 y z K 2 r d K v K R z X 8 5 N G i d w k I T C f v X G C l o H F P B p 0 n A 5 g 5 y g 1 8 u J v a k P y W s h s Y N v Z Y a w / U S 2 B y B v S / I B 1 B L A w Q U A A I A C A B H p 2 J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6 d i U k / k t w P 5 A Q A A p g Q A A B M A H A B G b 3 J t d W x h c y 9 T Z W N 0 a W 9 u M S 5 t I K I Y A C i g F A A A A A A A A A A A A A A A A A A A A A A A A A A A A H 1 T z W 7 a Q B C + I / E O K / c C k k s F b X N o 5 E M M j Y q q k h Z o L 3 E P G + / E L H h n 0 e y Y N E V 5 o j 5 G X 6 x D I U 2 o A U u 2 d 7 / v m 9 + d D Z C z 9 a g m 2 3 / 3 v N l o N s J M E x j F p D F o w S G o R J X A z Y a S J y X R J 6 o f V p 2 B z y s H y K 1 L W 0 K n 7 5 F l E 1 p R / 1 3 2 N Q C F z N m c f H a F M C C 7 g u z S o s b c A p T Z G B a A F o v s W Z R O H l Z R O 7 4 e Q G m d Z a A k i q N Y 9 X 1 Z O Q x J 7 y x W 7 z H 3 R s y S b u 9 t L 1 Z f K s 8 w 4 f s S k q d l Z + Q R v r f j b b o v o g + g j S S j H L B a A c 2 8 L 4 x C y U d X k R Q y 1 T d i 8 5 m 8 E w c 7 b W t T Z K y u d + h F W U 5 y X W o K C V P 1 3 P f 0 f g m q g D s 7 / 2 k L 8 + R u u q n q 1 p P b J r + R h d b p V O L 1 O h q m F 6 N X q X y k b N 6 4 Z v j B D 7 F a R 5 8 q 5 B q Y D v s 1 7 J s v C y S B h 8 h n b z q b y H / x g e b K P a q N 5 i 0 6 l g M D c 5 B K w Z A u 6 o 4 m u j R e o Z b 5 w D o 7 h Q K Q d o e r j t c z 0 t r J T s R L T W z n h w W V T I F F I / M w X 4 A 6 p b R o 2 f 7 + R S D q Y 0 J p 1 8 m Q f W + g b q Q 5 n 6 n h o E Z M / w 0 u w a 2 8 K K v 6 s e l 8 x r a Q X g R p i Q N a 1 C R D z H U I G v l Q k B R Y l / v W / z X 8 y o V 8 R n a + E t X L b s 3 B H t 0 7 T b + u 0 W M w g I q A f U V 1 W 0 9 h S e r m c U 4 O s u 7 Q 3 H 7 0 c g n 2 0 I d 2 s 2 H x y K 0 6 / w N Q S w E C L Q A U A A I A C A B H p 2 J S X k z n e a M A A A D 1 A A A A E g A A A A A A A A A A A A A A A A A A A A A A Q 2 9 u Z m l n L 1 B h Y 2 t h Z 2 U u e G 1 s U E s B A i 0 A F A A C A A g A R 6 d i U g / K 6 a u k A A A A 6 Q A A A B M A A A A A A A A A A A A A A A A A 7 w A A A F t D b 2 5 0 Z W 5 0 X 1 R 5 c G V z X S 5 4 b W x Q S w E C L Q A U A A I A C A B H p 2 J S T + S 3 A / k B A A C m B A A A E w A A A A A A A A A A A A A A A A D g A Q A A R m 9 y b X V s Y X M v U 2 V j d G l v b j E u b V B L B Q Y A A A A A A w A D A M I A A A A m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B G Q A A A A A A A N 8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H J h b n N h Y 3 R p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w N l Q x M z o 0 M D o 0 M i 4 1 O T c 1 N D Q 5 W i I g L z 4 8 R W 5 0 c n k g V H l w Z T 0 i R m l s b E N v b H V t b l R 5 c G V z I i B W Y W x 1 Z T 0 i c 0 J n W U d B d 2 t K Q X d N R 0 J n W U d C Z 1 l H Q m d Z R 0 F 3 W U d C Z 1 l H Q m d Z P S I g L z 4 8 R W 5 0 c n k g V H l w Z T 0 i R m l s b E N v b H V t b k 5 h b W V z I i B W Y W x 1 Z T 0 i c 1 s m c X V v d D t J Q k F O L 0 J C Q U 4 m c X V v d D s s J n F 1 b 3 Q 7 T X V u d C Z x d W 9 0 O y w m c X V v d D t C S U M m c X V v d D s s J n F 1 b 3 Q 7 V m 9 s Z 2 5 y J n F 1 b 3 Q 7 L C Z x d W 9 0 O 0 R h d H V t J n F 1 b 3 Q 7 L C Z x d W 9 0 O 1 J l b n R l Z G F 0 d W 0 m c X V v d D s s J n F 1 b 3 Q 7 Q m V k c m F n J n F 1 b 3 Q 7 L C Z x d W 9 0 O 1 N h b G R v I G 5 h I H R y b i Z x d W 9 0 O y w m c X V v d D t U Z W d l b n J l a 2 V u a W 5 n I E l C Q U 4 v Q k J B T i Z x d W 9 0 O y w m c X V v d D t O Y W F t I H R l Z 2 V u c G F y d G l q J n F 1 b 3 Q 7 L C Z x d W 9 0 O 0 5 h Y W 0 g d W l 0 Z W l u Z G V s a W p r Z S B w Y X J 0 a W o m c X V v d D s s J n F 1 b 3 Q 7 T m F h b S B p b m l 0 a c O r c m V u Z G U g c G F y d G l q J n F 1 b 3 Q 7 L C Z x d W 9 0 O 0 J J Q y B 0 Z W d l b n B h c n R p a i Z x d W 9 0 O y w m c X V v d D t D b 2 R l J n F 1 b 3 Q 7 L C Z x d W 9 0 O 0 J h d G N o I E l E J n F 1 b 3 Q 7 L C Z x d W 9 0 O 1 R y Y W 5 z Y W N 0 a W V y Z W Z l c m V u d G l l J n F 1 b 3 Q 7 L C Z x d W 9 0 O 0 1 h Y 2 h 0 a W d p b m d z a 2 V u b W V y a y Z x d W 9 0 O y w m c X V v d D t J b m N h c 3 N h b n Q g S U Q m c X V v d D s s J n F 1 b 3 Q 7 Q m V 0 Y W x p b m d z a 2 V u b W V y a y Z x d W 9 0 O y w m c X V v d D t P b X N j a H J p a n Z p b m c t M S Z x d W 9 0 O y w m c X V v d D t P b X N j a H J p a n Z p b m c t M i Z x d W 9 0 O y w m c X V v d D t P b X N j a H J p a n Z p b m c t M y Z x d W 9 0 O y w m c X V v d D t S Z W R l b i B y Z X R v d X I m c X V v d D s s J n F 1 b 3 Q 7 T 2 9 y c 3 B y I G J l Z H J h Z y Z x d W 9 0 O y w m c X V v d D t P b 3 J z c H I g b X V u d C Z x d W 9 0 O y w m c X V v d D t L b 2 V y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c m F u c 2 F j d G l l c y 9 B d X R v U m V t b 3 Z l Z E N v b H V t b n M x L n t J Q k F O L 0 J C Q U 4 s M H 0 m c X V v d D s s J n F 1 b 3 Q 7 U 2 V j d G l v b j E v d H J h b n N h Y 3 R p Z X M v Q X V 0 b 1 J l b W 9 2 Z W R D b 2 x 1 b W 5 z M S 5 7 T X V u d C w x f S Z x d W 9 0 O y w m c X V v d D t T Z W N 0 a W 9 u M S 9 0 c m F u c 2 F j d G l l c y 9 B d X R v U m V t b 3 Z l Z E N v b H V t b n M x L n t C S U M s M n 0 m c X V v d D s s J n F 1 b 3 Q 7 U 2 V j d G l v b j E v d H J h b n N h Y 3 R p Z X M v Q X V 0 b 1 J l b W 9 2 Z W R D b 2 x 1 b W 5 z M S 5 7 V m 9 s Z 2 5 y L D N 9 J n F 1 b 3 Q 7 L C Z x d W 9 0 O 1 N l Y 3 R p b 2 4 x L 3 R y Y W 5 z Y W N 0 a W V z L 0 F 1 d G 9 S Z W 1 v d m V k Q 2 9 s d W 1 u c z E u e 0 R h d H V t L D R 9 J n F 1 b 3 Q 7 L C Z x d W 9 0 O 1 N l Y 3 R p b 2 4 x L 3 R y Y W 5 z Y W N 0 a W V z L 0 F 1 d G 9 S Z W 1 v d m V k Q 2 9 s d W 1 u c z E u e 1 J l b n R l Z G F 0 d W 0 s N X 0 m c X V v d D s s J n F 1 b 3 Q 7 U 2 V j d G l v b j E v d H J h b n N h Y 3 R p Z X M v Q X V 0 b 1 J l b W 9 2 Z W R D b 2 x 1 b W 5 z M S 5 7 Q m V k c m F n L D Z 9 J n F 1 b 3 Q 7 L C Z x d W 9 0 O 1 N l Y 3 R p b 2 4 x L 3 R y Y W 5 z Y W N 0 a W V z L 0 F 1 d G 9 S Z W 1 v d m V k Q 2 9 s d W 1 u c z E u e 1 N h b G R v I G 5 h I H R y b i w 3 f S Z x d W 9 0 O y w m c X V v d D t T Z W N 0 a W 9 u M S 9 0 c m F u c 2 F j d G l l c y 9 B d X R v U m V t b 3 Z l Z E N v b H V t b n M x L n t U Z W d l b n J l a 2 V u a W 5 n I E l C Q U 4 v Q k J B T i w 4 f S Z x d W 9 0 O y w m c X V v d D t T Z W N 0 a W 9 u M S 9 0 c m F u c 2 F j d G l l c y 9 B d X R v U m V t b 3 Z l Z E N v b H V t b n M x L n t O Y W F t I H R l Z 2 V u c G F y d G l q L D l 9 J n F 1 b 3 Q 7 L C Z x d W 9 0 O 1 N l Y 3 R p b 2 4 x L 3 R y Y W 5 z Y W N 0 a W V z L 0 F 1 d G 9 S Z W 1 v d m V k Q 2 9 s d W 1 u c z E u e 0 5 h Y W 0 g d W l 0 Z W l u Z G V s a W p r Z S B w Y X J 0 a W o s M T B 9 J n F 1 b 3 Q 7 L C Z x d W 9 0 O 1 N l Y 3 R p b 2 4 x L 3 R y Y W 5 z Y W N 0 a W V z L 0 F 1 d G 9 S Z W 1 v d m V k Q 2 9 s d W 1 u c z E u e 0 5 h Y W 0 g a W 5 p d G n D q 3 J l b m R l I H B h c n R p a i w x M X 0 m c X V v d D s s J n F 1 b 3 Q 7 U 2 V j d G l v b j E v d H J h b n N h Y 3 R p Z X M v Q X V 0 b 1 J l b W 9 2 Z W R D b 2 x 1 b W 5 z M S 5 7 Q k l D I H R l Z 2 V u c G F y d G l q L D E y f S Z x d W 9 0 O y w m c X V v d D t T Z W N 0 a W 9 u M S 9 0 c m F u c 2 F j d G l l c y 9 B d X R v U m V t b 3 Z l Z E N v b H V t b n M x L n t D b 2 R l L D E z f S Z x d W 9 0 O y w m c X V v d D t T Z W N 0 a W 9 u M S 9 0 c m F u c 2 F j d G l l c y 9 B d X R v U m V t b 3 Z l Z E N v b H V t b n M x L n t C Y X R j a C B J R C w x N H 0 m c X V v d D s s J n F 1 b 3 Q 7 U 2 V j d G l v b j E v d H J h b n N h Y 3 R p Z X M v Q X V 0 b 1 J l b W 9 2 Z W R D b 2 x 1 b W 5 z M S 5 7 V H J h b n N h Y 3 R p Z X J l Z m V y Z W 5 0 a W U s M T V 9 J n F 1 b 3 Q 7 L C Z x d W 9 0 O 1 N l Y 3 R p b 2 4 x L 3 R y Y W 5 z Y W N 0 a W V z L 0 F 1 d G 9 S Z W 1 v d m V k Q 2 9 s d W 1 u c z E u e 0 1 h Y 2 h 0 a W d p b m d z a 2 V u b W V y a y w x N n 0 m c X V v d D s s J n F 1 b 3 Q 7 U 2 V j d G l v b j E v d H J h b n N h Y 3 R p Z X M v Q X V 0 b 1 J l b W 9 2 Z W R D b 2 x 1 b W 5 z M S 5 7 S W 5 j Y X N z Y W 5 0 I E l E L D E 3 f S Z x d W 9 0 O y w m c X V v d D t T Z W N 0 a W 9 u M S 9 0 c m F u c 2 F j d G l l c y 9 B d X R v U m V t b 3 Z l Z E N v b H V t b n M x L n t C Z X R h b G l u Z 3 N r Z W 5 t Z X J r L D E 4 f S Z x d W 9 0 O y w m c X V v d D t T Z W N 0 a W 9 u M S 9 0 c m F u c 2 F j d G l l c y 9 B d X R v U m V t b 3 Z l Z E N v b H V t b n M x L n t P b X N j a H J p a n Z p b m c t M S w x O X 0 m c X V v d D s s J n F 1 b 3 Q 7 U 2 V j d G l v b j E v d H J h b n N h Y 3 R p Z X M v Q X V 0 b 1 J l b W 9 2 Z W R D b 2 x 1 b W 5 z M S 5 7 T 2 1 z Y 2 h y a W p 2 a W 5 n L T I s M j B 9 J n F 1 b 3 Q 7 L C Z x d W 9 0 O 1 N l Y 3 R p b 2 4 x L 3 R y Y W 5 z Y W N 0 a W V z L 0 F 1 d G 9 S Z W 1 v d m V k Q 2 9 s d W 1 u c z E u e 0 9 t c 2 N o c m l q d m l u Z y 0 z L D I x f S Z x d W 9 0 O y w m c X V v d D t T Z W N 0 a W 9 u M S 9 0 c m F u c 2 F j d G l l c y 9 B d X R v U m V t b 3 Z l Z E N v b H V t b n M x L n t S Z W R l b i B y Z X R v d X I s M j J 9 J n F 1 b 3 Q 7 L C Z x d W 9 0 O 1 N l Y 3 R p b 2 4 x L 3 R y Y W 5 z Y W N 0 a W V z L 0 F 1 d G 9 S Z W 1 v d m V k Q 2 9 s d W 1 u c z E u e 0 9 v c n N w c i B i Z W R y Y W c s M j N 9 J n F 1 b 3 Q 7 L C Z x d W 9 0 O 1 N l Y 3 R p b 2 4 x L 3 R y Y W 5 z Y W N 0 a W V z L 0 F 1 d G 9 S Z W 1 v d m V k Q 2 9 s d W 1 u c z E u e 0 9 v c n N w c i B t d W 5 0 L D I 0 f S Z x d W 9 0 O y w m c X V v d D t T Z W N 0 a W 9 u M S 9 0 c m F u c 2 F j d G l l c y 9 B d X R v U m V t b 3 Z l Z E N v b H V t b n M x L n t L b 2 V y c y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3 R y Y W 5 z Y W N 0 a W V z L 0 F 1 d G 9 S Z W 1 v d m V k Q 2 9 s d W 1 u c z E u e 0 l C Q U 4 v Q k J B T i w w f S Z x d W 9 0 O y w m c X V v d D t T Z W N 0 a W 9 u M S 9 0 c m F u c 2 F j d G l l c y 9 B d X R v U m V t b 3 Z l Z E N v b H V t b n M x L n t N d W 5 0 L D F 9 J n F 1 b 3 Q 7 L C Z x d W 9 0 O 1 N l Y 3 R p b 2 4 x L 3 R y Y W 5 z Y W N 0 a W V z L 0 F 1 d G 9 S Z W 1 v d m V k Q 2 9 s d W 1 u c z E u e 0 J J Q y w y f S Z x d W 9 0 O y w m c X V v d D t T Z W N 0 a W 9 u M S 9 0 c m F u c 2 F j d G l l c y 9 B d X R v U m V t b 3 Z l Z E N v b H V t b n M x L n t W b 2 x n b n I s M 3 0 m c X V v d D s s J n F 1 b 3 Q 7 U 2 V j d G l v b j E v d H J h b n N h Y 3 R p Z X M v Q X V 0 b 1 J l b W 9 2 Z W R D b 2 x 1 b W 5 z M S 5 7 R G F 0 d W 0 s N H 0 m c X V v d D s s J n F 1 b 3 Q 7 U 2 V j d G l v b j E v d H J h b n N h Y 3 R p Z X M v Q X V 0 b 1 J l b W 9 2 Z W R D b 2 x 1 b W 5 z M S 5 7 U m V u d G V k Y X R 1 b S w 1 f S Z x d W 9 0 O y w m c X V v d D t T Z W N 0 a W 9 u M S 9 0 c m F u c 2 F j d G l l c y 9 B d X R v U m V t b 3 Z l Z E N v b H V t b n M x L n t C Z W R y Y W c s N n 0 m c X V v d D s s J n F 1 b 3 Q 7 U 2 V j d G l v b j E v d H J h b n N h Y 3 R p Z X M v Q X V 0 b 1 J l b W 9 2 Z W R D b 2 x 1 b W 5 z M S 5 7 U 2 F s Z G 8 g b m E g d H J u L D d 9 J n F 1 b 3 Q 7 L C Z x d W 9 0 O 1 N l Y 3 R p b 2 4 x L 3 R y Y W 5 z Y W N 0 a W V z L 0 F 1 d G 9 S Z W 1 v d m V k Q 2 9 s d W 1 u c z E u e 1 R l Z 2 V u c m V r Z W 5 p b m c g S U J B T i 9 C Q k F O L D h 9 J n F 1 b 3 Q 7 L C Z x d W 9 0 O 1 N l Y 3 R p b 2 4 x L 3 R y Y W 5 z Y W N 0 a W V z L 0 F 1 d G 9 S Z W 1 v d m V k Q 2 9 s d W 1 u c z E u e 0 5 h Y W 0 g d G V n Z W 5 w Y X J 0 a W o s O X 0 m c X V v d D s s J n F 1 b 3 Q 7 U 2 V j d G l v b j E v d H J h b n N h Y 3 R p Z X M v Q X V 0 b 1 J l b W 9 2 Z W R D b 2 x 1 b W 5 z M S 5 7 T m F h b S B 1 a X R l a W 5 k Z W x p a m t l I H B h c n R p a i w x M H 0 m c X V v d D s s J n F 1 b 3 Q 7 U 2 V j d G l v b j E v d H J h b n N h Y 3 R p Z X M v Q X V 0 b 1 J l b W 9 2 Z W R D b 2 x 1 b W 5 z M S 5 7 T m F h b S B p b m l 0 a c O r c m V u Z G U g c G F y d G l q L D E x f S Z x d W 9 0 O y w m c X V v d D t T Z W N 0 a W 9 u M S 9 0 c m F u c 2 F j d G l l c y 9 B d X R v U m V t b 3 Z l Z E N v b H V t b n M x L n t C S U M g d G V n Z W 5 w Y X J 0 a W o s M T J 9 J n F 1 b 3 Q 7 L C Z x d W 9 0 O 1 N l Y 3 R p b 2 4 x L 3 R y Y W 5 z Y W N 0 a W V z L 0 F 1 d G 9 S Z W 1 v d m V k Q 2 9 s d W 1 u c z E u e 0 N v Z G U s M T N 9 J n F 1 b 3 Q 7 L C Z x d W 9 0 O 1 N l Y 3 R p b 2 4 x L 3 R y Y W 5 z Y W N 0 a W V z L 0 F 1 d G 9 S Z W 1 v d m V k Q 2 9 s d W 1 u c z E u e 0 J h d G N o I E l E L D E 0 f S Z x d W 9 0 O y w m c X V v d D t T Z W N 0 a W 9 u M S 9 0 c m F u c 2 F j d G l l c y 9 B d X R v U m V t b 3 Z l Z E N v b H V t b n M x L n t U c m F u c 2 F j d G l l c m V m Z X J l b n R p Z S w x N X 0 m c X V v d D s s J n F 1 b 3 Q 7 U 2 V j d G l v b j E v d H J h b n N h Y 3 R p Z X M v Q X V 0 b 1 J l b W 9 2 Z W R D b 2 x 1 b W 5 z M S 5 7 T W F j a H R p Z 2 l u Z 3 N r Z W 5 t Z X J r L D E 2 f S Z x d W 9 0 O y w m c X V v d D t T Z W N 0 a W 9 u M S 9 0 c m F u c 2 F j d G l l c y 9 B d X R v U m V t b 3 Z l Z E N v b H V t b n M x L n t J b m N h c 3 N h b n Q g S U Q s M T d 9 J n F 1 b 3 Q 7 L C Z x d W 9 0 O 1 N l Y 3 R p b 2 4 x L 3 R y Y W 5 z Y W N 0 a W V z L 0 F 1 d G 9 S Z W 1 v d m V k Q 2 9 s d W 1 u c z E u e 0 J l d G F s a W 5 n c 2 t l b m 1 l c m s s M T h 9 J n F 1 b 3 Q 7 L C Z x d W 9 0 O 1 N l Y 3 R p b 2 4 x L 3 R y Y W 5 z Y W N 0 a W V z L 0 F 1 d G 9 S Z W 1 v d m V k Q 2 9 s d W 1 u c z E u e 0 9 t c 2 N o c m l q d m l u Z y 0 x L D E 5 f S Z x d W 9 0 O y w m c X V v d D t T Z W N 0 a W 9 u M S 9 0 c m F u c 2 F j d G l l c y 9 B d X R v U m V t b 3 Z l Z E N v b H V t b n M x L n t P b X N j a H J p a n Z p b m c t M i w y M H 0 m c X V v d D s s J n F 1 b 3 Q 7 U 2 V j d G l v b j E v d H J h b n N h Y 3 R p Z X M v Q X V 0 b 1 J l b W 9 2 Z W R D b 2 x 1 b W 5 z M S 5 7 T 2 1 z Y 2 h y a W p 2 a W 5 n L T M s M j F 9 J n F 1 b 3 Q 7 L C Z x d W 9 0 O 1 N l Y 3 R p b 2 4 x L 3 R y Y W 5 z Y W N 0 a W V z L 0 F 1 d G 9 S Z W 1 v d m V k Q 2 9 s d W 1 u c z E u e 1 J l Z G V u I H J l d G 9 1 c i w y M n 0 m c X V v d D s s J n F 1 b 3 Q 7 U 2 V j d G l v b j E v d H J h b n N h Y 3 R p Z X M v Q X V 0 b 1 J l b W 9 2 Z W R D b 2 x 1 b W 5 z M S 5 7 T 2 9 y c 3 B y I G J l Z H J h Z y w y M 3 0 m c X V v d D s s J n F 1 b 3 Q 7 U 2 V j d G l v b j E v d H J h b n N h Y 3 R p Z X M v Q X V 0 b 1 J l b W 9 2 Z W R D b 2 x 1 b W 5 z M S 5 7 T 2 9 y c 3 B y I G 1 1 b n Q s M j R 9 J n F 1 b 3 Q 7 L C Z x d W 9 0 O 1 N l Y 3 R p b 2 4 x L 3 R y Y W 5 z Y W N 0 a W V z L 0 F 1 d G 9 S Z W 1 v d m V k Q 2 9 s d W 1 u c z E u e 0 t v Z X J z L D I 1 f S Z x d W 9 0 O 1 0 s J n F 1 b 3 Q 7 U m V s Y X R p b 2 5 z a G l w S W 5 m b y Z x d W 9 0 O z p b X X 0 i I C 8 + P E V u d H J 5 I F R 5 c G U 9 I k 5 h d m l n Y X R p b 2 5 T d G V w T m F t Z S I g V m F s d W U 9 I n N O Y X Z p Z 2 F 0 a W U i I C 8 + P C 9 T d G F i b G V F b n R y a W V z P j w v S X R l b T 4 8 S X R l b T 4 8 S X R l b U x v Y 2 F 0 a W 9 u P j x J d G V t V H l w Z T 5 G b 3 J t d W x h P C 9 J d G V t V H l w Z T 4 8 S X R l b V B h d G g + U 2 V j d G l v b j E v d H J h b n N h Y 3 R p Z X M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y Y W 5 z Y W N 0 a W V z L 0 h l Y W R l c n M l M j B t Z X Q l M j B 2 Z X J o b 2 9 n Z C U y M G 5 p d m V h d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y Y W 5 z Y W N 0 a W V z L 1 R 5 c G U l M j B n Z X d p a n p p Z 2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V C M / p 5 2 L 0 m c N u 3 8 X r K Z x w A A A A A C A A A A A A A Q Z g A A A A E A A C A A A A A B k g l F w 4 l 1 T 1 Q N O r 4 g H i d B L r v l x S j L x z B E 1 w h D X K a i x w A A A A A O g A A A A A I A A C A A A A C 4 u Y P B r M L 7 t g U X M o k B i 9 Q I A i o + 3 M 8 y D w g L o v C 6 l F n S 0 V A A A A B 5 H S x R M D C w G C t j e D v r V Q x J Z d 6 l B 0 r q I G D R D C I x O 2 U J b e z R Y / 0 Z v B Q n d d i N t m Q 6 L K S P J V Z z R h K l Q o L / l M R g R B M W l A P u 7 2 b P s Y k P Z P 8 L h H c f l 0 A A A A B 2 3 R i 9 W 8 k S Q A B m N r 8 6 n 8 O 3 r U J 0 i U Q G d v M t q 0 q Y d a U W g W Z O Z i K U p D L M E h F y p k U d M s n Y J e / v O 8 f u Y r Q G G T y 4 a 0 d 9 < / D a t a M a s h u p > 
</file>

<file path=customXml/itemProps1.xml><?xml version="1.0" encoding="utf-8"?>
<ds:datastoreItem xmlns:ds="http://schemas.openxmlformats.org/officeDocument/2006/customXml" ds:itemID="{3B5D38D7-FBB2-4305-A26B-FB73D7ECD4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Tarieven en Berekening</vt:lpstr>
      <vt:lpstr>Gebruiksaanwijzing</vt:lpstr>
      <vt:lpstr>Tabellen Terugleverkosten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Rekeningoverzicht</dc:title>
  <dc:creator>Gerard</dc:creator>
  <cp:lastModifiedBy>Gerard van Lier</cp:lastModifiedBy>
  <cp:lastPrinted>2023-06-01T19:15:02Z</cp:lastPrinted>
  <dcterms:created xsi:type="dcterms:W3CDTF">1997-08-03T11:41:22Z</dcterms:created>
  <dcterms:modified xsi:type="dcterms:W3CDTF">2024-10-06T15:11:51Z</dcterms:modified>
</cp:coreProperties>
</file>